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J:\HIBAH PDK 2024\RAB Otomatis-20240805T160806Z-001\RAB Otomatis\FILE RAB OTOMATIS\CONTOH\"/>
    </mc:Choice>
  </mc:AlternateContent>
  <xr:revisionPtr revIDLastSave="0" documentId="13_ncr:1_{C3B32775-2F7E-4BFA-B9F5-1096B7CFA40A}" xr6:coauthVersionLast="47" xr6:coauthVersionMax="47" xr10:uidLastSave="{00000000-0000-0000-0000-000000000000}"/>
  <bookViews>
    <workbookView xWindow="-120" yWindow="-120" windowWidth="29040" windowHeight="15840" tabRatio="754" activeTab="8" xr2:uid="{00000000-000D-0000-FFFF-FFFF00000000}"/>
  </bookViews>
  <sheets>
    <sheet name="Rekap RAB" sheetId="10" r:id="rId1"/>
    <sheet name="RAB" sheetId="4" r:id="rId2"/>
    <sheet name="Rekap Volume" sheetId="5" r:id="rId3"/>
    <sheet name="Volume" sheetId="1" r:id="rId4"/>
    <sheet name="HSP" sheetId="7" r:id="rId5"/>
    <sheet name="AHSP" sheetId="6" r:id="rId6"/>
    <sheet name="Bahan" sheetId="8" r:id="rId7"/>
    <sheet name="Upah" sheetId="9" r:id="rId8"/>
    <sheet name="Bobot Pekerjaan" sheetId="11" r:id="rId9"/>
    <sheet name="Time Schedulle &amp; Kurva S" sheetId="12" r:id="rId10"/>
  </sheets>
  <externalReferences>
    <externalReference r:id="rId11"/>
  </externalReferences>
  <definedNames>
    <definedName name="AHSP">AHSP!$B$5:$J$8070</definedName>
    <definedName name="Bahan">Bahan!$C$7:$H$511</definedName>
    <definedName name="_xlnm.Print_Area" localSheetId="5">AHSP!$A$1:$J$8066</definedName>
    <definedName name="_xlnm.Print_Area" localSheetId="6">Bahan!$B$2:$I$511</definedName>
    <definedName name="_xlnm.Print_Area" localSheetId="8">'Bobot Pekerjaan'!$B$3:$H$120</definedName>
    <definedName name="_xlnm.Print_Area" localSheetId="1">RAB!$B$3:$G$120</definedName>
    <definedName name="_xlnm.Print_Area" localSheetId="0">'Rekap RAB'!$B$2:$G$25</definedName>
    <definedName name="_xlnm.Print_Area" localSheetId="2">'Rekap Volume'!$B$2:$E$119</definedName>
    <definedName name="_xlnm.Print_Area" localSheetId="9">'Time Schedulle &amp; Kurva S'!$B$21:$T$137</definedName>
    <definedName name="_xlnm.Print_Area" localSheetId="7">Upah!$C$3:$M$47</definedName>
    <definedName name="_xlnm.Print_Area" localSheetId="3">Volume!$A$1:$AI$863</definedName>
    <definedName name="_xlnm.Print_Titles" localSheetId="6">Bahan!$B:$I,Bahan!$4:$5</definedName>
    <definedName name="_xlnm.Print_Titles" localSheetId="8">'Bobot Pekerjaan'!$B:$H,'Bobot Pekerjaan'!$6:$8</definedName>
    <definedName name="_xlnm.Print_Titles" localSheetId="1">RAB!$B:$G,RAB!$6:$8</definedName>
    <definedName name="_xlnm.Print_Titles" localSheetId="2">'Rekap Volume'!$B:$E,'Rekap Volume'!$5:$7</definedName>
    <definedName name="_xlnm.Print_Titles" localSheetId="9">'Time Schedulle &amp; Kurva S'!$B:$T,'Time Schedulle &amp; Kurva S'!$24:$25</definedName>
    <definedName name="_xlnm.Print_Titles" localSheetId="7">Upah!$C:$M,Upah!$5:$6</definedName>
    <definedName name="_xlnm.Print_Titles" localSheetId="3">Volume!$A:$AI,Volume!$4:$6</definedName>
    <definedName name="RekapVolume">'Rekap Volume'!$C$8:$E$119</definedName>
    <definedName name="Upah">Upah!$E$8:$L$47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2" l="1"/>
  <c r="AU269" i="1" l="1"/>
  <c r="C9" i="9" l="1"/>
  <c r="C10" i="9" s="1"/>
  <c r="C11" i="9" s="1"/>
  <c r="H8065" i="6"/>
  <c r="H8063" i="6"/>
  <c r="H8061" i="6"/>
  <c r="I8061" i="6" s="1"/>
  <c r="I8062" i="6" s="1"/>
  <c r="H8058" i="6"/>
  <c r="I8058" i="6" s="1"/>
  <c r="I8060" i="6" s="1"/>
  <c r="H8054" i="6"/>
  <c r="I8054" i="6" s="1"/>
  <c r="H8053" i="6"/>
  <c r="I8053" i="6" s="1"/>
  <c r="H8048" i="6"/>
  <c r="H8046" i="6"/>
  <c r="H8044" i="6"/>
  <c r="I8044" i="6" s="1"/>
  <c r="I8045" i="6" s="1"/>
  <c r="H8041" i="6"/>
  <c r="I8041" i="6" s="1"/>
  <c r="I8043" i="6" s="1"/>
  <c r="H8036" i="6"/>
  <c r="I8036" i="6" s="1"/>
  <c r="H8035" i="6"/>
  <c r="I8035" i="6" s="1"/>
  <c r="H8030" i="6"/>
  <c r="H8028" i="6"/>
  <c r="H8026" i="6"/>
  <c r="I8026" i="6" s="1"/>
  <c r="I8027" i="6" s="1"/>
  <c r="H8023" i="6"/>
  <c r="I8023" i="6" s="1"/>
  <c r="I8025" i="6" s="1"/>
  <c r="H8018" i="6"/>
  <c r="I8018" i="6" s="1"/>
  <c r="H8017" i="6"/>
  <c r="I8017" i="6" s="1"/>
  <c r="H8012" i="6"/>
  <c r="H8010" i="6"/>
  <c r="H8008" i="6"/>
  <c r="I8008" i="6" s="1"/>
  <c r="I8009" i="6" s="1"/>
  <c r="H8005" i="6"/>
  <c r="I8005" i="6" s="1"/>
  <c r="I8007" i="6" s="1"/>
  <c r="H8000" i="6"/>
  <c r="I8000" i="6" s="1"/>
  <c r="H7999" i="6"/>
  <c r="I7999" i="6" s="1"/>
  <c r="H7994" i="6"/>
  <c r="H7992" i="6"/>
  <c r="H7990" i="6"/>
  <c r="I7990" i="6" s="1"/>
  <c r="I7991" i="6" s="1"/>
  <c r="H7988" i="6"/>
  <c r="I7988" i="6" s="1"/>
  <c r="H7987" i="6"/>
  <c r="I7987" i="6" s="1"/>
  <c r="H7986" i="6"/>
  <c r="I7986" i="6" s="1"/>
  <c r="H7985" i="6"/>
  <c r="I7985" i="6" s="1"/>
  <c r="H7984" i="6"/>
  <c r="I7984" i="6" s="1"/>
  <c r="H7983" i="6"/>
  <c r="I7983" i="6" s="1"/>
  <c r="H7982" i="6"/>
  <c r="I7982" i="6" s="1"/>
  <c r="H7981" i="6"/>
  <c r="I7981" i="6" s="1"/>
  <c r="H7976" i="6"/>
  <c r="I7976" i="6" s="1"/>
  <c r="H7975" i="6"/>
  <c r="I7975" i="6" s="1"/>
  <c r="H7970" i="6"/>
  <c r="H7968" i="6"/>
  <c r="H7966" i="6"/>
  <c r="I7966" i="6" s="1"/>
  <c r="I7967" i="6" s="1"/>
  <c r="H7964" i="6"/>
  <c r="I7964" i="6" s="1"/>
  <c r="H7963" i="6"/>
  <c r="I7963" i="6" s="1"/>
  <c r="H7962" i="6"/>
  <c r="I7962" i="6" s="1"/>
  <c r="H7961" i="6"/>
  <c r="I7961" i="6" s="1"/>
  <c r="H7960" i="6"/>
  <c r="I7960" i="6" s="1"/>
  <c r="H7959" i="6"/>
  <c r="I7959" i="6" s="1"/>
  <c r="H7958" i="6"/>
  <c r="I7958" i="6" s="1"/>
  <c r="H7957" i="6"/>
  <c r="I7957" i="6" s="1"/>
  <c r="H7956" i="6"/>
  <c r="I7956" i="6" s="1"/>
  <c r="I7989" i="6" l="1"/>
  <c r="I7965" i="6"/>
  <c r="H7953" i="6" s="1"/>
  <c r="I7953" i="6" s="1"/>
  <c r="I7954" i="6" l="1"/>
  <c r="I7968" i="6" s="1"/>
  <c r="I7969" i="6" l="1"/>
  <c r="I7970" i="6" s="1"/>
  <c r="J7950" i="6" s="1"/>
  <c r="H154" i="8" l="1"/>
  <c r="H156" i="8"/>
  <c r="H212" i="8"/>
  <c r="B8" i="8"/>
  <c r="E457" i="7" l="1"/>
  <c r="E458" i="7"/>
  <c r="E459" i="7"/>
  <c r="E460" i="7"/>
  <c r="AG652" i="1"/>
  <c r="S617" i="1"/>
  <c r="E62" i="5" s="1"/>
  <c r="E112" i="5"/>
  <c r="E111" i="5"/>
  <c r="T859" i="1"/>
  <c r="T844" i="1"/>
  <c r="T839" i="1"/>
  <c r="T834" i="1"/>
  <c r="T828" i="1"/>
  <c r="AF823" i="1" s="1"/>
  <c r="E109" i="5" s="1"/>
  <c r="T821" i="1"/>
  <c r="T815" i="1"/>
  <c r="T809" i="1"/>
  <c r="T802" i="1"/>
  <c r="AF797" i="1" s="1"/>
  <c r="E107" i="5" s="1"/>
  <c r="T795" i="1"/>
  <c r="AF790" i="1" s="1"/>
  <c r="E106" i="5" s="1"/>
  <c r="T788" i="1"/>
  <c r="T782" i="1"/>
  <c r="S775" i="1"/>
  <c r="S769" i="1"/>
  <c r="T762" i="1"/>
  <c r="AF758" i="1" s="1"/>
  <c r="E103" i="5" s="1"/>
  <c r="T756" i="1"/>
  <c r="AF752" i="1" s="1"/>
  <c r="E102" i="5" s="1"/>
  <c r="T750" i="1"/>
  <c r="AF746" i="1" s="1"/>
  <c r="E101" i="5" s="1"/>
  <c r="T744" i="1"/>
  <c r="AF740" i="1" s="1"/>
  <c r="E100" i="5" s="1"/>
  <c r="S738" i="1"/>
  <c r="AF777" i="1" l="1"/>
  <c r="E105" i="5" s="1"/>
  <c r="E106" i="11" s="1"/>
  <c r="AF830" i="1"/>
  <c r="E110" i="5" s="1"/>
  <c r="E110" i="4"/>
  <c r="F127" i="12"/>
  <c r="E110" i="11"/>
  <c r="E103" i="4"/>
  <c r="F120" i="12"/>
  <c r="E103" i="11"/>
  <c r="E104" i="4"/>
  <c r="F121" i="12"/>
  <c r="E104" i="11"/>
  <c r="E106" i="4"/>
  <c r="F123" i="12"/>
  <c r="E111" i="4"/>
  <c r="F128" i="12"/>
  <c r="E111" i="11"/>
  <c r="E107" i="4"/>
  <c r="F124" i="12"/>
  <c r="E107" i="11"/>
  <c r="E113" i="4"/>
  <c r="G113" i="4" s="1"/>
  <c r="F130" i="12"/>
  <c r="H130" i="12" s="1"/>
  <c r="E113" i="11"/>
  <c r="G113" i="11" s="1"/>
  <c r="E101" i="4"/>
  <c r="F118" i="12"/>
  <c r="E101" i="11"/>
  <c r="E102" i="4"/>
  <c r="F119" i="12"/>
  <c r="E102" i="11"/>
  <c r="E108" i="4"/>
  <c r="F125" i="12"/>
  <c r="E108" i="11"/>
  <c r="F80" i="12"/>
  <c r="E63" i="11"/>
  <c r="AF804" i="1"/>
  <c r="E108" i="5" s="1"/>
  <c r="E112" i="4"/>
  <c r="F129" i="12"/>
  <c r="E112" i="11"/>
  <c r="AE764" i="1"/>
  <c r="E104" i="5" s="1"/>
  <c r="E105" i="4" l="1"/>
  <c r="F122" i="12"/>
  <c r="E105" i="11"/>
  <c r="E109" i="4"/>
  <c r="F126" i="12"/>
  <c r="E109" i="11"/>
  <c r="E89" i="5" l="1"/>
  <c r="E88" i="5"/>
  <c r="E87" i="5"/>
  <c r="E86" i="5"/>
  <c r="E85" i="5"/>
  <c r="E84" i="5"/>
  <c r="E83" i="5"/>
  <c r="E82" i="5"/>
  <c r="E81" i="5"/>
  <c r="E80" i="5"/>
  <c r="E79" i="5"/>
  <c r="E78" i="5"/>
  <c r="E72" i="5"/>
  <c r="E71" i="5"/>
  <c r="E70" i="5"/>
  <c r="E69" i="5"/>
  <c r="E63" i="4"/>
  <c r="E288" i="7"/>
  <c r="E289" i="7"/>
  <c r="E290" i="7"/>
  <c r="H5117" i="6"/>
  <c r="I5117" i="6" s="1"/>
  <c r="H5118" i="6"/>
  <c r="I5118" i="6" s="1"/>
  <c r="H5119" i="6"/>
  <c r="I5119" i="6" s="1"/>
  <c r="H5105" i="6"/>
  <c r="H5103" i="6"/>
  <c r="H5101" i="6"/>
  <c r="I5101" i="6" s="1"/>
  <c r="I5102" i="6" s="1"/>
  <c r="H5099" i="6"/>
  <c r="I5099" i="6" s="1"/>
  <c r="H5098" i="6"/>
  <c r="I5098" i="6" s="1"/>
  <c r="H5092" i="6"/>
  <c r="I5092" i="6" s="1"/>
  <c r="H5126" i="6"/>
  <c r="H5124" i="6"/>
  <c r="H5122" i="6"/>
  <c r="I5122" i="6" s="1"/>
  <c r="I5123" i="6" s="1"/>
  <c r="H5116" i="6"/>
  <c r="I5116" i="6" s="1"/>
  <c r="H5110" i="6"/>
  <c r="I5110" i="6" s="1"/>
  <c r="H8" i="6"/>
  <c r="H5040" i="6"/>
  <c r="I5040" i="6" s="1"/>
  <c r="H5047" i="6"/>
  <c r="H5045" i="6"/>
  <c r="H5043" i="6"/>
  <c r="I5043" i="6" s="1"/>
  <c r="I5044" i="6" s="1"/>
  <c r="H5041" i="6"/>
  <c r="I5041" i="6" s="1"/>
  <c r="H5034" i="6"/>
  <c r="I5034" i="6" s="1"/>
  <c r="E71" i="4" l="1"/>
  <c r="F88" i="12"/>
  <c r="E71" i="11"/>
  <c r="E84" i="4"/>
  <c r="F101" i="12"/>
  <c r="E84" i="11"/>
  <c r="E70" i="4"/>
  <c r="F87" i="12"/>
  <c r="E70" i="11"/>
  <c r="E79" i="4"/>
  <c r="F96" i="12"/>
  <c r="E79" i="11"/>
  <c r="E83" i="4"/>
  <c r="F100" i="12"/>
  <c r="E83" i="11"/>
  <c r="E87" i="4"/>
  <c r="F104" i="12"/>
  <c r="E87" i="11"/>
  <c r="E80" i="4"/>
  <c r="F97" i="12"/>
  <c r="E80" i="11"/>
  <c r="E88" i="4"/>
  <c r="F105" i="12"/>
  <c r="E88" i="11"/>
  <c r="E72" i="4"/>
  <c r="F89" i="12"/>
  <c r="E72" i="11"/>
  <c r="E81" i="4"/>
  <c r="F98" i="12"/>
  <c r="E81" i="11"/>
  <c r="E85" i="4"/>
  <c r="F102" i="12"/>
  <c r="E85" i="11"/>
  <c r="E89" i="4"/>
  <c r="F106" i="12"/>
  <c r="E89" i="11"/>
  <c r="E73" i="4"/>
  <c r="F90" i="12"/>
  <c r="E73" i="11"/>
  <c r="E82" i="4"/>
  <c r="F99" i="12"/>
  <c r="E82" i="11"/>
  <c r="E86" i="4"/>
  <c r="F103" i="12"/>
  <c r="E86" i="11"/>
  <c r="E90" i="4"/>
  <c r="F107" i="12"/>
  <c r="E90" i="11"/>
  <c r="I5100" i="6"/>
  <c r="I5121" i="6"/>
  <c r="I5042" i="6"/>
  <c r="S443" i="1"/>
  <c r="S442" i="1"/>
  <c r="S407" i="1"/>
  <c r="S406" i="1"/>
  <c r="S370" i="1"/>
  <c r="K43" i="9"/>
  <c r="K42" i="9"/>
  <c r="L39" i="9"/>
  <c r="K39" i="9" s="1"/>
  <c r="L38" i="9"/>
  <c r="K38" i="9" s="1"/>
  <c r="L37" i="9"/>
  <c r="K37" i="9" s="1"/>
  <c r="L36" i="9"/>
  <c r="K36" i="9" s="1"/>
  <c r="L35" i="9"/>
  <c r="K35" i="9" s="1"/>
  <c r="L34" i="9"/>
  <c r="K34" i="9" s="1"/>
  <c r="L30" i="9"/>
  <c r="K30" i="9" s="1"/>
  <c r="L29" i="9"/>
  <c r="K29" i="9" s="1"/>
  <c r="L28" i="9"/>
  <c r="K28" i="9" s="1"/>
  <c r="L27" i="9"/>
  <c r="H6331" i="6" s="1"/>
  <c r="I6331" i="6" s="1"/>
  <c r="L26" i="9"/>
  <c r="L25" i="9"/>
  <c r="K25" i="9" s="1"/>
  <c r="L24" i="9"/>
  <c r="K24" i="9" s="1"/>
  <c r="L23" i="9"/>
  <c r="H1855" i="6" s="1"/>
  <c r="I1855" i="6" s="1"/>
  <c r="L22" i="9"/>
  <c r="K22" i="9" s="1"/>
  <c r="L21" i="9"/>
  <c r="K21" i="9" s="1"/>
  <c r="L20" i="9"/>
  <c r="K20" i="9" s="1"/>
  <c r="L19" i="9"/>
  <c r="K19" i="9" s="1"/>
  <c r="L18" i="9"/>
  <c r="L17" i="9"/>
  <c r="K17" i="9" s="1"/>
  <c r="L16" i="9"/>
  <c r="K16" i="9" s="1"/>
  <c r="L15" i="9"/>
  <c r="H4890" i="6" s="1"/>
  <c r="I4890" i="6" s="1"/>
  <c r="L14" i="9"/>
  <c r="L13" i="9"/>
  <c r="L12" i="9"/>
  <c r="K12" i="9" s="1"/>
  <c r="C12" i="9"/>
  <c r="C13" i="9" s="1"/>
  <c r="C14" i="9" s="1"/>
  <c r="C15" i="9" s="1"/>
  <c r="C16" i="9" s="1"/>
  <c r="K11" i="9"/>
  <c r="K10" i="9"/>
  <c r="K9" i="9"/>
  <c r="K8" i="9"/>
  <c r="B491" i="8"/>
  <c r="B492" i="8" s="1"/>
  <c r="B493" i="8" s="1"/>
  <c r="B494" i="8" s="1"/>
  <c r="B495" i="8" s="1"/>
  <c r="B496" i="8" s="1"/>
  <c r="B497" i="8" s="1"/>
  <c r="B498" i="8" s="1"/>
  <c r="B499" i="8" s="1"/>
  <c r="B500" i="8" s="1"/>
  <c r="B501" i="8" s="1"/>
  <c r="B502" i="8" s="1"/>
  <c r="B503" i="8" s="1"/>
  <c r="B504" i="8" s="1"/>
  <c r="H382" i="8"/>
  <c r="H6992" i="6" s="1"/>
  <c r="I6992" i="6" s="1"/>
  <c r="I6993" i="6" s="1"/>
  <c r="H201" i="8"/>
  <c r="H200" i="8"/>
  <c r="H199" i="8"/>
  <c r="H142" i="8"/>
  <c r="H127" i="8"/>
  <c r="B9" i="8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s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s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s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  <c r="B150" i="8" s="1"/>
  <c r="B151" i="8" s="1"/>
  <c r="B152" i="8" s="1"/>
  <c r="B153" i="8" s="1"/>
  <c r="B154" i="8" s="1"/>
  <c r="E456" i="7"/>
  <c r="E455" i="7"/>
  <c r="E452" i="7"/>
  <c r="E451" i="7"/>
  <c r="E450" i="7"/>
  <c r="E449" i="7"/>
  <c r="E448" i="7"/>
  <c r="E447" i="7"/>
  <c r="E446" i="7"/>
  <c r="E445" i="7"/>
  <c r="E444" i="7"/>
  <c r="E443" i="7"/>
  <c r="E442" i="7"/>
  <c r="E441" i="7"/>
  <c r="E440" i="7"/>
  <c r="E439" i="7"/>
  <c r="E438" i="7"/>
  <c r="E437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6" i="7"/>
  <c r="E395" i="7"/>
  <c r="E394" i="7"/>
  <c r="E393" i="7"/>
  <c r="E390" i="7"/>
  <c r="E389" i="7"/>
  <c r="E388" i="7"/>
  <c r="E387" i="7"/>
  <c r="E38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87" i="7"/>
  <c r="E286" i="7"/>
  <c r="E285" i="7"/>
  <c r="E284" i="7"/>
  <c r="E283" i="7"/>
  <c r="E282" i="7"/>
  <c r="E281" i="7"/>
  <c r="E280" i="7"/>
  <c r="E279" i="7"/>
  <c r="E278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B58" i="7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E57" i="7"/>
  <c r="E54" i="7"/>
  <c r="E53" i="7"/>
  <c r="E52" i="7"/>
  <c r="E51" i="7"/>
  <c r="E50" i="7"/>
  <c r="E49" i="7"/>
  <c r="E48" i="7"/>
  <c r="E47" i="7"/>
  <c r="E46" i="7"/>
  <c r="E45" i="7"/>
  <c r="B45" i="7"/>
  <c r="B46" i="7" s="1"/>
  <c r="B47" i="7" s="1"/>
  <c r="B48" i="7" s="1"/>
  <c r="B49" i="7" s="1"/>
  <c r="B50" i="7" s="1"/>
  <c r="B51" i="7" s="1"/>
  <c r="B52" i="7" s="1"/>
  <c r="B53" i="7" s="1"/>
  <c r="B54" i="7" s="1"/>
  <c r="E44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B29" i="7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E28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B11" i="7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E10" i="7"/>
  <c r="H7947" i="6"/>
  <c r="H7945" i="6"/>
  <c r="H7943" i="6"/>
  <c r="I7943" i="6" s="1"/>
  <c r="I7944" i="6" s="1"/>
  <c r="H7941" i="6"/>
  <c r="I7941" i="6" s="1"/>
  <c r="H7940" i="6"/>
  <c r="I7940" i="6" s="1"/>
  <c r="H7939" i="6"/>
  <c r="I7939" i="6" s="1"/>
  <c r="H7938" i="6"/>
  <c r="I7938" i="6" s="1"/>
  <c r="H7937" i="6"/>
  <c r="I7937" i="6" s="1"/>
  <c r="H7933" i="6"/>
  <c r="I7933" i="6" s="1"/>
  <c r="H7931" i="6"/>
  <c r="I7931" i="6" s="1"/>
  <c r="H7926" i="6"/>
  <c r="H7924" i="6"/>
  <c r="H7922" i="6"/>
  <c r="I7922" i="6" s="1"/>
  <c r="I7923" i="6" s="1"/>
  <c r="H7920" i="6"/>
  <c r="I7920" i="6" s="1"/>
  <c r="H7919" i="6"/>
  <c r="I7919" i="6" s="1"/>
  <c r="H7918" i="6"/>
  <c r="I7918" i="6" s="1"/>
  <c r="H7917" i="6"/>
  <c r="I7917" i="6" s="1"/>
  <c r="H7916" i="6"/>
  <c r="I7916" i="6" s="1"/>
  <c r="H7910" i="6"/>
  <c r="I7910" i="6" s="1"/>
  <c r="H7905" i="6"/>
  <c r="H7903" i="6"/>
  <c r="H7901" i="6"/>
  <c r="I7901" i="6" s="1"/>
  <c r="I7902" i="6" s="1"/>
  <c r="H7899" i="6"/>
  <c r="I7899" i="6" s="1"/>
  <c r="H7898" i="6"/>
  <c r="I7898" i="6" s="1"/>
  <c r="H7897" i="6"/>
  <c r="I7897" i="6" s="1"/>
  <c r="H7896" i="6"/>
  <c r="I7896" i="6" s="1"/>
  <c r="H7892" i="6"/>
  <c r="I7892" i="6" s="1"/>
  <c r="H7890" i="6"/>
  <c r="I7890" i="6" s="1"/>
  <c r="H7885" i="6"/>
  <c r="H7883" i="6"/>
  <c r="H7881" i="6"/>
  <c r="I7881" i="6" s="1"/>
  <c r="I7882" i="6" s="1"/>
  <c r="H7879" i="6"/>
  <c r="I7879" i="6" s="1"/>
  <c r="H7878" i="6"/>
  <c r="I7878" i="6" s="1"/>
  <c r="H7877" i="6"/>
  <c r="I7877" i="6" s="1"/>
  <c r="H7876" i="6"/>
  <c r="I7876" i="6" s="1"/>
  <c r="H7870" i="6"/>
  <c r="I7870" i="6" s="1"/>
  <c r="H7865" i="6"/>
  <c r="H7863" i="6"/>
  <c r="H7861" i="6"/>
  <c r="I7861" i="6" s="1"/>
  <c r="I7862" i="6" s="1"/>
  <c r="H7858" i="6"/>
  <c r="I7858" i="6" s="1"/>
  <c r="H7854" i="6"/>
  <c r="I7854" i="6" s="1"/>
  <c r="H7852" i="6"/>
  <c r="I7852" i="6" s="1"/>
  <c r="H7847" i="6"/>
  <c r="H7845" i="6"/>
  <c r="H7843" i="6"/>
  <c r="I7843" i="6" s="1"/>
  <c r="I7844" i="6" s="1"/>
  <c r="H7840" i="6"/>
  <c r="I7840" i="6" s="1"/>
  <c r="H7841" i="6" s="1"/>
  <c r="I7841" i="6" s="1"/>
  <c r="H7836" i="6"/>
  <c r="I7836" i="6" s="1"/>
  <c r="H7834" i="6"/>
  <c r="I7834" i="6" s="1"/>
  <c r="H7829" i="6"/>
  <c r="H7827" i="6"/>
  <c r="H7825" i="6"/>
  <c r="I7825" i="6" s="1"/>
  <c r="I7826" i="6" s="1"/>
  <c r="H7822" i="6"/>
  <c r="I7822" i="6" s="1"/>
  <c r="H7818" i="6"/>
  <c r="I7818" i="6" s="1"/>
  <c r="H7816" i="6"/>
  <c r="I7816" i="6" s="1"/>
  <c r="H7811" i="6"/>
  <c r="H7809" i="6"/>
  <c r="H7807" i="6"/>
  <c r="I7807" i="6" s="1"/>
  <c r="I7808" i="6" s="1"/>
  <c r="H7804" i="6"/>
  <c r="I7804" i="6" s="1"/>
  <c r="H7805" i="6" s="1"/>
  <c r="I7805" i="6" s="1"/>
  <c r="I7806" i="6" s="1"/>
  <c r="H7798" i="6"/>
  <c r="I7798" i="6" s="1"/>
  <c r="H7793" i="6"/>
  <c r="H7791" i="6"/>
  <c r="H7789" i="6"/>
  <c r="I7789" i="6" s="1"/>
  <c r="I7790" i="6" s="1"/>
  <c r="H7786" i="6"/>
  <c r="I7786" i="6" s="1"/>
  <c r="H7787" i="6" s="1"/>
  <c r="I7787" i="6" s="1"/>
  <c r="H7782" i="6"/>
  <c r="I7782" i="6" s="1"/>
  <c r="H7780" i="6"/>
  <c r="I7780" i="6" s="1"/>
  <c r="H7775" i="6"/>
  <c r="H7773" i="6"/>
  <c r="H7771" i="6"/>
  <c r="I7771" i="6" s="1"/>
  <c r="I7772" i="6" s="1"/>
  <c r="H7768" i="6"/>
  <c r="I7768" i="6" s="1"/>
  <c r="H7769" i="6" s="1"/>
  <c r="I7769" i="6" s="1"/>
  <c r="H7764" i="6"/>
  <c r="I7764" i="6" s="1"/>
  <c r="H7762" i="6"/>
  <c r="I7762" i="6" s="1"/>
  <c r="H7757" i="6"/>
  <c r="H7755" i="6"/>
  <c r="H7753" i="6"/>
  <c r="I7753" i="6" s="1"/>
  <c r="I7754" i="6" s="1"/>
  <c r="H7750" i="6"/>
  <c r="I7750" i="6" s="1"/>
  <c r="H7746" i="6"/>
  <c r="I7746" i="6" s="1"/>
  <c r="H7744" i="6"/>
  <c r="I7744" i="6" s="1"/>
  <c r="H7739" i="6"/>
  <c r="H7737" i="6"/>
  <c r="H7735" i="6"/>
  <c r="I7735" i="6" s="1"/>
  <c r="I7736" i="6" s="1"/>
  <c r="H7732" i="6"/>
  <c r="I7732" i="6" s="1"/>
  <c r="H7726" i="6"/>
  <c r="I7726" i="6" s="1"/>
  <c r="H7721" i="6"/>
  <c r="H7719" i="6"/>
  <c r="H7717" i="6"/>
  <c r="I7717" i="6" s="1"/>
  <c r="I7718" i="6" s="1"/>
  <c r="H7714" i="6"/>
  <c r="I7714" i="6" s="1"/>
  <c r="H7710" i="6"/>
  <c r="I7710" i="6" s="1"/>
  <c r="H7708" i="6"/>
  <c r="I7708" i="6" s="1"/>
  <c r="H7703" i="6"/>
  <c r="H7701" i="6"/>
  <c r="H7699" i="6"/>
  <c r="I7699" i="6" s="1"/>
  <c r="I7700" i="6" s="1"/>
  <c r="H7696" i="6"/>
  <c r="I7696" i="6" s="1"/>
  <c r="H7697" i="6" s="1"/>
  <c r="I7697" i="6" s="1"/>
  <c r="I7698" i="6" s="1"/>
  <c r="H7692" i="6"/>
  <c r="I7692" i="6" s="1"/>
  <c r="H7690" i="6"/>
  <c r="I7690" i="6" s="1"/>
  <c r="H7685" i="6"/>
  <c r="H7683" i="6"/>
  <c r="H7681" i="6"/>
  <c r="I7681" i="6" s="1"/>
  <c r="I7682" i="6" s="1"/>
  <c r="H7678" i="6"/>
  <c r="I7678" i="6" s="1"/>
  <c r="H7674" i="6"/>
  <c r="I7674" i="6" s="1"/>
  <c r="H7672" i="6"/>
  <c r="I7672" i="6" s="1"/>
  <c r="H7667" i="6"/>
  <c r="H7665" i="6"/>
  <c r="H7663" i="6"/>
  <c r="I7663" i="6" s="1"/>
  <c r="I7664" i="6" s="1"/>
  <c r="I7660" i="6"/>
  <c r="H7654" i="6"/>
  <c r="I7654" i="6" s="1"/>
  <c r="H7649" i="6"/>
  <c r="H7647" i="6"/>
  <c r="H7645" i="6"/>
  <c r="I7645" i="6" s="1"/>
  <c r="I7646" i="6" s="1"/>
  <c r="H7642" i="6"/>
  <c r="I7642" i="6" s="1"/>
  <c r="H7638" i="6"/>
  <c r="I7638" i="6" s="1"/>
  <c r="H7636" i="6"/>
  <c r="I7636" i="6" s="1"/>
  <c r="H7631" i="6"/>
  <c r="H7629" i="6"/>
  <c r="H7627" i="6"/>
  <c r="I7627" i="6" s="1"/>
  <c r="I7628" i="6" s="1"/>
  <c r="H7625" i="6"/>
  <c r="I7625" i="6" s="1"/>
  <c r="H7624" i="6"/>
  <c r="I7624" i="6" s="1"/>
  <c r="H7620" i="6"/>
  <c r="I7620" i="6" s="1"/>
  <c r="H7618" i="6"/>
  <c r="I7618" i="6" s="1"/>
  <c r="H7613" i="6"/>
  <c r="H7611" i="6"/>
  <c r="H7609" i="6"/>
  <c r="I7609" i="6" s="1"/>
  <c r="I7610" i="6" s="1"/>
  <c r="H7606" i="6"/>
  <c r="I7606" i="6" s="1"/>
  <c r="H7602" i="6"/>
  <c r="I7602" i="6" s="1"/>
  <c r="H7600" i="6"/>
  <c r="I7600" i="6" s="1"/>
  <c r="H7595" i="6"/>
  <c r="H7593" i="6"/>
  <c r="H7591" i="6"/>
  <c r="I7591" i="6" s="1"/>
  <c r="I7592" i="6" s="1"/>
  <c r="H7589" i="6"/>
  <c r="I7589" i="6" s="1"/>
  <c r="H7588" i="6"/>
  <c r="I7588" i="6" s="1"/>
  <c r="H7587" i="6"/>
  <c r="I7587" i="6" s="1"/>
  <c r="H7586" i="6"/>
  <c r="I7586" i="6" s="1"/>
  <c r="H7585" i="6"/>
  <c r="I7585" i="6" s="1"/>
  <c r="H7584" i="6"/>
  <c r="I7584" i="6" s="1"/>
  <c r="H7580" i="6"/>
  <c r="I7580" i="6" s="1"/>
  <c r="H7578" i="6"/>
  <c r="I7578" i="6" s="1"/>
  <c r="H7573" i="6"/>
  <c r="H7571" i="6"/>
  <c r="H7569" i="6"/>
  <c r="I7569" i="6" s="1"/>
  <c r="I7570" i="6" s="1"/>
  <c r="H7567" i="6"/>
  <c r="I7567" i="6" s="1"/>
  <c r="H7566" i="6"/>
  <c r="I7566" i="6" s="1"/>
  <c r="H7565" i="6"/>
  <c r="I7565" i="6" s="1"/>
  <c r="H7564" i="6"/>
  <c r="I7564" i="6" s="1"/>
  <c r="H7563" i="6"/>
  <c r="I7563" i="6" s="1"/>
  <c r="H7562" i="6"/>
  <c r="I7562" i="6" s="1"/>
  <c r="H7558" i="6"/>
  <c r="I7558" i="6" s="1"/>
  <c r="H7556" i="6"/>
  <c r="I7556" i="6" s="1"/>
  <c r="H7551" i="6"/>
  <c r="H7549" i="6"/>
  <c r="H7547" i="6"/>
  <c r="I7547" i="6" s="1"/>
  <c r="I7548" i="6" s="1"/>
  <c r="H7545" i="6"/>
  <c r="I7545" i="6" s="1"/>
  <c r="H7544" i="6"/>
  <c r="I7544" i="6" s="1"/>
  <c r="H7543" i="6"/>
  <c r="I7543" i="6" s="1"/>
  <c r="H7542" i="6"/>
  <c r="I7542" i="6" s="1"/>
  <c r="H7541" i="6"/>
  <c r="I7541" i="6" s="1"/>
  <c r="H7540" i="6"/>
  <c r="I7540" i="6" s="1"/>
  <c r="H7536" i="6"/>
  <c r="I7536" i="6" s="1"/>
  <c r="H7534" i="6"/>
  <c r="I7534" i="6" s="1"/>
  <c r="H7529" i="6"/>
  <c r="H7527" i="6"/>
  <c r="H7525" i="6"/>
  <c r="I7525" i="6" s="1"/>
  <c r="I7526" i="6" s="1"/>
  <c r="H7523" i="6"/>
  <c r="I7523" i="6" s="1"/>
  <c r="I7524" i="6" s="1"/>
  <c r="H7519" i="6"/>
  <c r="I7519" i="6" s="1"/>
  <c r="H7517" i="6"/>
  <c r="I7517" i="6" s="1"/>
  <c r="H7512" i="6"/>
  <c r="H7510" i="6"/>
  <c r="H7508" i="6"/>
  <c r="I7508" i="6" s="1"/>
  <c r="I7509" i="6" s="1"/>
  <c r="H7506" i="6"/>
  <c r="I7506" i="6" s="1"/>
  <c r="H7505" i="6"/>
  <c r="I7505" i="6" s="1"/>
  <c r="H7504" i="6"/>
  <c r="I7504" i="6" s="1"/>
  <c r="H7503" i="6"/>
  <c r="I7503" i="6" s="1"/>
  <c r="H7499" i="6"/>
  <c r="I7499" i="6" s="1"/>
  <c r="H7497" i="6"/>
  <c r="I7497" i="6" s="1"/>
  <c r="H7492" i="6"/>
  <c r="H7490" i="6"/>
  <c r="H7488" i="6"/>
  <c r="I7488" i="6" s="1"/>
  <c r="I7489" i="6" s="1"/>
  <c r="H7486" i="6"/>
  <c r="I7486" i="6" s="1"/>
  <c r="H7485" i="6"/>
  <c r="I7485" i="6" s="1"/>
  <c r="H7481" i="6"/>
  <c r="I7481" i="6" s="1"/>
  <c r="H7479" i="6"/>
  <c r="I7479" i="6" s="1"/>
  <c r="H7474" i="6"/>
  <c r="H7472" i="6"/>
  <c r="H7470" i="6"/>
  <c r="I7470" i="6" s="1"/>
  <c r="I7471" i="6" s="1"/>
  <c r="H7467" i="6"/>
  <c r="I7467" i="6" s="1"/>
  <c r="H7466" i="6"/>
  <c r="I7466" i="6" s="1"/>
  <c r="H7465" i="6"/>
  <c r="I7465" i="6" s="1"/>
  <c r="H7464" i="6"/>
  <c r="I7464" i="6" s="1"/>
  <c r="H7460" i="6"/>
  <c r="I7460" i="6" s="1"/>
  <c r="H7458" i="6"/>
  <c r="I7458" i="6" s="1"/>
  <c r="H7453" i="6"/>
  <c r="H7451" i="6"/>
  <c r="H7449" i="6"/>
  <c r="I7449" i="6" s="1"/>
  <c r="I7450" i="6" s="1"/>
  <c r="H7446" i="6"/>
  <c r="I7446" i="6" s="1"/>
  <c r="H7440" i="6"/>
  <c r="I7440" i="6" s="1"/>
  <c r="H7435" i="6"/>
  <c r="H7433" i="6"/>
  <c r="H7431" i="6"/>
  <c r="I7431" i="6" s="1"/>
  <c r="I7432" i="6" s="1"/>
  <c r="H7428" i="6"/>
  <c r="I7428" i="6" s="1"/>
  <c r="H7429" i="6" s="1"/>
  <c r="I7429" i="6" s="1"/>
  <c r="H7424" i="6"/>
  <c r="I7424" i="6" s="1"/>
  <c r="H7422" i="6"/>
  <c r="I7422" i="6" s="1"/>
  <c r="H7417" i="6"/>
  <c r="H7415" i="6"/>
  <c r="H7413" i="6"/>
  <c r="I7413" i="6" s="1"/>
  <c r="I7414" i="6" s="1"/>
  <c r="H7411" i="6"/>
  <c r="I7411" i="6" s="1"/>
  <c r="H7410" i="6"/>
  <c r="I7410" i="6" s="1"/>
  <c r="H7409" i="6"/>
  <c r="I7409" i="6" s="1"/>
  <c r="H7408" i="6"/>
  <c r="I7408" i="6" s="1"/>
  <c r="H7407" i="6"/>
  <c r="I7407" i="6" s="1"/>
  <c r="H7403" i="6"/>
  <c r="I7403" i="6" s="1"/>
  <c r="H7401" i="6"/>
  <c r="I7401" i="6" s="1"/>
  <c r="H7396" i="6"/>
  <c r="H7394" i="6"/>
  <c r="H7392" i="6"/>
  <c r="I7392" i="6" s="1"/>
  <c r="I7393" i="6" s="1"/>
  <c r="H7389" i="6"/>
  <c r="I7389" i="6" s="1"/>
  <c r="H7385" i="6"/>
  <c r="I7385" i="6" s="1"/>
  <c r="H7383" i="6"/>
  <c r="I7383" i="6" s="1"/>
  <c r="H7378" i="6"/>
  <c r="H7376" i="6"/>
  <c r="H7374" i="6"/>
  <c r="I7374" i="6" s="1"/>
  <c r="I7375" i="6" s="1"/>
  <c r="H7371" i="6"/>
  <c r="I7371" i="6" s="1"/>
  <c r="H7372" i="6" s="1"/>
  <c r="I7372" i="6" s="1"/>
  <c r="I7373" i="6" s="1"/>
  <c r="H7365" i="6"/>
  <c r="I7365" i="6" s="1"/>
  <c r="H7360" i="6"/>
  <c r="H7358" i="6"/>
  <c r="H7356" i="6"/>
  <c r="I7356" i="6" s="1"/>
  <c r="I7357" i="6" s="1"/>
  <c r="H7353" i="6"/>
  <c r="I7353" i="6" s="1"/>
  <c r="H7352" i="6"/>
  <c r="I7352" i="6" s="1"/>
  <c r="H7351" i="6"/>
  <c r="I7351" i="6" s="1"/>
  <c r="H7347" i="6"/>
  <c r="I7347" i="6" s="1"/>
  <c r="H7345" i="6"/>
  <c r="I7345" i="6" s="1"/>
  <c r="H7340" i="6"/>
  <c r="H7338" i="6"/>
  <c r="H7336" i="6"/>
  <c r="I7336" i="6" s="1"/>
  <c r="I7337" i="6" s="1"/>
  <c r="H7333" i="6"/>
  <c r="I7333" i="6" s="1"/>
  <c r="H7332" i="6"/>
  <c r="I7332" i="6" s="1"/>
  <c r="H7331" i="6"/>
  <c r="I7331" i="6" s="1"/>
  <c r="H7327" i="6"/>
  <c r="I7327" i="6" s="1"/>
  <c r="H7325" i="6"/>
  <c r="I7325" i="6" s="1"/>
  <c r="H7320" i="6"/>
  <c r="H7318" i="6"/>
  <c r="H7316" i="6"/>
  <c r="I7316" i="6" s="1"/>
  <c r="I7317" i="6" s="1"/>
  <c r="H7314" i="6"/>
  <c r="I7314" i="6" s="1"/>
  <c r="H7313" i="6"/>
  <c r="I7313" i="6" s="1"/>
  <c r="H7312" i="6"/>
  <c r="I7312" i="6" s="1"/>
  <c r="H7311" i="6"/>
  <c r="I7311" i="6" s="1"/>
  <c r="H7305" i="6"/>
  <c r="I7305" i="6" s="1"/>
  <c r="H7300" i="6"/>
  <c r="H7298" i="6"/>
  <c r="H7296" i="6"/>
  <c r="I7296" i="6" s="1"/>
  <c r="I7297" i="6" s="1"/>
  <c r="H7294" i="6"/>
  <c r="I7294" i="6" s="1"/>
  <c r="H7293" i="6"/>
  <c r="I7293" i="6" s="1"/>
  <c r="H7292" i="6"/>
  <c r="I7292" i="6" s="1"/>
  <c r="H7288" i="6"/>
  <c r="I7288" i="6" s="1"/>
  <c r="H7286" i="6"/>
  <c r="I7286" i="6" s="1"/>
  <c r="H7281" i="6"/>
  <c r="H7279" i="6"/>
  <c r="H7277" i="6"/>
  <c r="I7277" i="6" s="1"/>
  <c r="I7278" i="6" s="1"/>
  <c r="H7274" i="6"/>
  <c r="I7274" i="6" s="1"/>
  <c r="H7275" i="6" s="1"/>
  <c r="H7268" i="6"/>
  <c r="I7268" i="6" s="1"/>
  <c r="H7262" i="6"/>
  <c r="H7260" i="6"/>
  <c r="H7258" i="6"/>
  <c r="I7258" i="6" s="1"/>
  <c r="I7259" i="6" s="1"/>
  <c r="H7256" i="6"/>
  <c r="I7256" i="6" s="1"/>
  <c r="H7255" i="6"/>
  <c r="I7255" i="6" s="1"/>
  <c r="H7250" i="6"/>
  <c r="I7250" i="6" s="1"/>
  <c r="H7249" i="6"/>
  <c r="I7249" i="6" s="1"/>
  <c r="H7244" i="6"/>
  <c r="H7242" i="6"/>
  <c r="H7240" i="6"/>
  <c r="I7240" i="6" s="1"/>
  <c r="I7241" i="6" s="1"/>
  <c r="H7238" i="6"/>
  <c r="I7238" i="6" s="1"/>
  <c r="H7237" i="6"/>
  <c r="I7237" i="6" s="1"/>
  <c r="H7233" i="6"/>
  <c r="I7233" i="6" s="1"/>
  <c r="H7232" i="6"/>
  <c r="I7232" i="6" s="1"/>
  <c r="H7231" i="6"/>
  <c r="I7231" i="6" s="1"/>
  <c r="H7226" i="6"/>
  <c r="H7224" i="6"/>
  <c r="H7222" i="6"/>
  <c r="I7222" i="6" s="1"/>
  <c r="I7223" i="6" s="1"/>
  <c r="H7220" i="6"/>
  <c r="I7220" i="6" s="1"/>
  <c r="H7219" i="6"/>
  <c r="I7219" i="6" s="1"/>
  <c r="H7218" i="6"/>
  <c r="I7218" i="6" s="1"/>
  <c r="H7217" i="6"/>
  <c r="I7217" i="6" s="1"/>
  <c r="H7216" i="6"/>
  <c r="I7216" i="6" s="1"/>
  <c r="H7212" i="6"/>
  <c r="I7212" i="6" s="1"/>
  <c r="H7211" i="6"/>
  <c r="I7211" i="6" s="1"/>
  <c r="H7210" i="6"/>
  <c r="I7210" i="6" s="1"/>
  <c r="H7205" i="6"/>
  <c r="H7203" i="6"/>
  <c r="H7201" i="6"/>
  <c r="I7201" i="6" s="1"/>
  <c r="I7202" i="6" s="1"/>
  <c r="H7199" i="6"/>
  <c r="I7199" i="6" s="1"/>
  <c r="H7198" i="6"/>
  <c r="I7198" i="6" s="1"/>
  <c r="H7197" i="6"/>
  <c r="I7197" i="6" s="1"/>
  <c r="H7193" i="6"/>
  <c r="I7193" i="6" s="1"/>
  <c r="H7191" i="6"/>
  <c r="I7191" i="6" s="1"/>
  <c r="H7186" i="6"/>
  <c r="H7184" i="6"/>
  <c r="H7182" i="6"/>
  <c r="I7182" i="6" s="1"/>
  <c r="I7183" i="6" s="1"/>
  <c r="H7180" i="6"/>
  <c r="I7180" i="6" s="1"/>
  <c r="H7179" i="6"/>
  <c r="I7179" i="6" s="1"/>
  <c r="H7178" i="6"/>
  <c r="I7178" i="6" s="1"/>
  <c r="H7177" i="6"/>
  <c r="I7177" i="6" s="1"/>
  <c r="H7176" i="6"/>
  <c r="I7176" i="6" s="1"/>
  <c r="H7172" i="6"/>
  <c r="I7172" i="6" s="1"/>
  <c r="H7170" i="6"/>
  <c r="I7170" i="6" s="1"/>
  <c r="H7165" i="6"/>
  <c r="H7163" i="6"/>
  <c r="H7161" i="6"/>
  <c r="I7161" i="6" s="1"/>
  <c r="I7162" i="6" s="1"/>
  <c r="H7158" i="6"/>
  <c r="I7158" i="6" s="1"/>
  <c r="H7157" i="6"/>
  <c r="I7157" i="6" s="1"/>
  <c r="H7156" i="6"/>
  <c r="I7156" i="6" s="1"/>
  <c r="H7152" i="6"/>
  <c r="I7152" i="6" s="1"/>
  <c r="H7151" i="6"/>
  <c r="I7151" i="6" s="1"/>
  <c r="H7150" i="6"/>
  <c r="I7150" i="6" s="1"/>
  <c r="H7145" i="6"/>
  <c r="H7143" i="6"/>
  <c r="H7141" i="6"/>
  <c r="I7141" i="6" s="1"/>
  <c r="I7142" i="6" s="1"/>
  <c r="H7139" i="6"/>
  <c r="I7139" i="6" s="1"/>
  <c r="H7138" i="6"/>
  <c r="I7138" i="6" s="1"/>
  <c r="H7134" i="6"/>
  <c r="I7134" i="6" s="1"/>
  <c r="H7133" i="6"/>
  <c r="I7133" i="6" s="1"/>
  <c r="H7132" i="6"/>
  <c r="I7132" i="6" s="1"/>
  <c r="H7127" i="6"/>
  <c r="H7125" i="6"/>
  <c r="H7123" i="6"/>
  <c r="I7123" i="6" s="1"/>
  <c r="I7124" i="6" s="1"/>
  <c r="H7121" i="6"/>
  <c r="I7121" i="6" s="1"/>
  <c r="H7120" i="6"/>
  <c r="I7120" i="6" s="1"/>
  <c r="H7116" i="6"/>
  <c r="I7116" i="6" s="1"/>
  <c r="H7114" i="6"/>
  <c r="I7114" i="6" s="1"/>
  <c r="H7109" i="6"/>
  <c r="H7107" i="6"/>
  <c r="H7105" i="6"/>
  <c r="I7105" i="6" s="1"/>
  <c r="I7106" i="6" s="1"/>
  <c r="H7103" i="6"/>
  <c r="I7103" i="6" s="1"/>
  <c r="H7102" i="6"/>
  <c r="I7102" i="6" s="1"/>
  <c r="H7101" i="6"/>
  <c r="I7101" i="6" s="1"/>
  <c r="H7097" i="6"/>
  <c r="I7097" i="6" s="1"/>
  <c r="H7096" i="6"/>
  <c r="I7096" i="6" s="1"/>
  <c r="H7095" i="6"/>
  <c r="I7095" i="6" s="1"/>
  <c r="H7090" i="6"/>
  <c r="H7088" i="6"/>
  <c r="H7086" i="6"/>
  <c r="I7086" i="6" s="1"/>
  <c r="I7087" i="6" s="1"/>
  <c r="H7084" i="6"/>
  <c r="I7084" i="6" s="1"/>
  <c r="H7083" i="6"/>
  <c r="I7083" i="6" s="1"/>
  <c r="H7082" i="6"/>
  <c r="I7082" i="6" s="1"/>
  <c r="H7078" i="6"/>
  <c r="I7078" i="6" s="1"/>
  <c r="H7076" i="6"/>
  <c r="I7076" i="6" s="1"/>
  <c r="H7071" i="6"/>
  <c r="H7069" i="6"/>
  <c r="H7067" i="6"/>
  <c r="I7067" i="6" s="1"/>
  <c r="I7068" i="6" s="1"/>
  <c r="H7065" i="6"/>
  <c r="I7065" i="6" s="1"/>
  <c r="I7066" i="6" s="1"/>
  <c r="H7061" i="6"/>
  <c r="I7061" i="6" s="1"/>
  <c r="H7059" i="6"/>
  <c r="I7059" i="6" s="1"/>
  <c r="H7054" i="6"/>
  <c r="H7052" i="6"/>
  <c r="H7050" i="6"/>
  <c r="I7050" i="6" s="1"/>
  <c r="I7051" i="6" s="1"/>
  <c r="H7048" i="6"/>
  <c r="I7048" i="6" s="1"/>
  <c r="H7047" i="6"/>
  <c r="I7047" i="6" s="1"/>
  <c r="H7042" i="6"/>
  <c r="I7042" i="6" s="1"/>
  <c r="H7041" i="6"/>
  <c r="I7041" i="6" s="1"/>
  <c r="H7036" i="6"/>
  <c r="H7034" i="6"/>
  <c r="H7032" i="6"/>
  <c r="I7032" i="6" s="1"/>
  <c r="I7033" i="6" s="1"/>
  <c r="H7030" i="6"/>
  <c r="I7030" i="6" s="1"/>
  <c r="H7029" i="6"/>
  <c r="I7029" i="6" s="1"/>
  <c r="H7028" i="6"/>
  <c r="I7028" i="6" s="1"/>
  <c r="H7024" i="6"/>
  <c r="I7024" i="6" s="1"/>
  <c r="H7023" i="6"/>
  <c r="I7023" i="6" s="1"/>
  <c r="H7022" i="6"/>
  <c r="I7022" i="6" s="1"/>
  <c r="H7017" i="6"/>
  <c r="H7015" i="6"/>
  <c r="H7013" i="6"/>
  <c r="I7013" i="6" s="1"/>
  <c r="I7014" i="6" s="1"/>
  <c r="H7011" i="6"/>
  <c r="I7011" i="6" s="1"/>
  <c r="H7010" i="6"/>
  <c r="I7010" i="6" s="1"/>
  <c r="H7009" i="6"/>
  <c r="I7009" i="6" s="1"/>
  <c r="H7004" i="6"/>
  <c r="I7004" i="6" s="1"/>
  <c r="H7003" i="6"/>
  <c r="I7003" i="6" s="1"/>
  <c r="H6998" i="6"/>
  <c r="H6996" i="6"/>
  <c r="H6994" i="6"/>
  <c r="I6994" i="6" s="1"/>
  <c r="I6995" i="6" s="1"/>
  <c r="H6988" i="6"/>
  <c r="I6988" i="6" s="1"/>
  <c r="H6983" i="6"/>
  <c r="H6981" i="6"/>
  <c r="H6979" i="6"/>
  <c r="I6979" i="6" s="1"/>
  <c r="I6980" i="6" s="1"/>
  <c r="H6977" i="6"/>
  <c r="I6977" i="6" s="1"/>
  <c r="H6976" i="6"/>
  <c r="I6976" i="6" s="1"/>
  <c r="H6975" i="6"/>
  <c r="I6975" i="6" s="1"/>
  <c r="H6971" i="6"/>
  <c r="I6971" i="6" s="1"/>
  <c r="H6969" i="6"/>
  <c r="I6969" i="6" s="1"/>
  <c r="H6964" i="6"/>
  <c r="H6962" i="6"/>
  <c r="H6960" i="6"/>
  <c r="I6960" i="6" s="1"/>
  <c r="I6961" i="6" s="1"/>
  <c r="H6958" i="6"/>
  <c r="I6958" i="6" s="1"/>
  <c r="I6959" i="6" s="1"/>
  <c r="H6954" i="6"/>
  <c r="I6954" i="6" s="1"/>
  <c r="H6952" i="6"/>
  <c r="I6952" i="6" s="1"/>
  <c r="H6947" i="6"/>
  <c r="H6945" i="6"/>
  <c r="H6943" i="6"/>
  <c r="I6943" i="6" s="1"/>
  <c r="I6944" i="6" s="1"/>
  <c r="H6941" i="6"/>
  <c r="I6941" i="6" s="1"/>
  <c r="H6940" i="6"/>
  <c r="I6940" i="6" s="1"/>
  <c r="H6939" i="6"/>
  <c r="I6939" i="6" s="1"/>
  <c r="H6938" i="6"/>
  <c r="I6938" i="6" s="1"/>
  <c r="H6937" i="6"/>
  <c r="I6937" i="6" s="1"/>
  <c r="H6936" i="6"/>
  <c r="I6936" i="6" s="1"/>
  <c r="H6935" i="6"/>
  <c r="I6935" i="6" s="1"/>
  <c r="H6931" i="6"/>
  <c r="I6931" i="6" s="1"/>
  <c r="H6930" i="6"/>
  <c r="I6930" i="6" s="1"/>
  <c r="H6929" i="6"/>
  <c r="I6929" i="6" s="1"/>
  <c r="H6924" i="6"/>
  <c r="H6922" i="6"/>
  <c r="H6920" i="6"/>
  <c r="I6920" i="6" s="1"/>
  <c r="I6921" i="6" s="1"/>
  <c r="H6918" i="6"/>
  <c r="I6918" i="6" s="1"/>
  <c r="H6917" i="6"/>
  <c r="I6917" i="6" s="1"/>
  <c r="H6916" i="6"/>
  <c r="I6916" i="6" s="1"/>
  <c r="H6915" i="6"/>
  <c r="I6915" i="6" s="1"/>
  <c r="H6914" i="6"/>
  <c r="I6914" i="6" s="1"/>
  <c r="H6913" i="6"/>
  <c r="I6913" i="6" s="1"/>
  <c r="H6912" i="6"/>
  <c r="I6912" i="6" s="1"/>
  <c r="H6908" i="6"/>
  <c r="I6908" i="6" s="1"/>
  <c r="H6906" i="6"/>
  <c r="I6906" i="6" s="1"/>
  <c r="H6901" i="6"/>
  <c r="H6899" i="6"/>
  <c r="H6897" i="6"/>
  <c r="I6897" i="6" s="1"/>
  <c r="I6898" i="6" s="1"/>
  <c r="H6895" i="6"/>
  <c r="I6895" i="6" s="1"/>
  <c r="I6896" i="6" s="1"/>
  <c r="H6891" i="6"/>
  <c r="I6891" i="6" s="1"/>
  <c r="H6886" i="6"/>
  <c r="H6884" i="6"/>
  <c r="H6882" i="6"/>
  <c r="I6882" i="6" s="1"/>
  <c r="I6883" i="6" s="1"/>
  <c r="H6880" i="6"/>
  <c r="I6880" i="6" s="1"/>
  <c r="I6881" i="6" s="1"/>
  <c r="H6876" i="6"/>
  <c r="I6876" i="6" s="1"/>
  <c r="H6871" i="6"/>
  <c r="H6869" i="6"/>
  <c r="H6867" i="6"/>
  <c r="I6867" i="6" s="1"/>
  <c r="I6868" i="6" s="1"/>
  <c r="H6865" i="6"/>
  <c r="I6865" i="6" s="1"/>
  <c r="I6866" i="6" s="1"/>
  <c r="H6861" i="6"/>
  <c r="I6861" i="6" s="1"/>
  <c r="H6855" i="6"/>
  <c r="H6853" i="6"/>
  <c r="H6851" i="6"/>
  <c r="I6851" i="6" s="1"/>
  <c r="I6852" i="6" s="1"/>
  <c r="H6849" i="6"/>
  <c r="I6849" i="6" s="1"/>
  <c r="H6848" i="6"/>
  <c r="I6848" i="6" s="1"/>
  <c r="H6844" i="6"/>
  <c r="I6844" i="6" s="1"/>
  <c r="H6843" i="6"/>
  <c r="I6843" i="6" s="1"/>
  <c r="H6842" i="6"/>
  <c r="I6842" i="6" s="1"/>
  <c r="H6837" i="6"/>
  <c r="H6835" i="6"/>
  <c r="H6833" i="6"/>
  <c r="I6833" i="6" s="1"/>
  <c r="I6834" i="6" s="1"/>
  <c r="H6831" i="6"/>
  <c r="I6831" i="6" s="1"/>
  <c r="I6832" i="6" s="1"/>
  <c r="H6827" i="6"/>
  <c r="I6827" i="6" s="1"/>
  <c r="H6826" i="6"/>
  <c r="I6826" i="6" s="1"/>
  <c r="H6825" i="6"/>
  <c r="I6825" i="6" s="1"/>
  <c r="H6820" i="6"/>
  <c r="H6818" i="6"/>
  <c r="H6816" i="6"/>
  <c r="I6816" i="6" s="1"/>
  <c r="I6817" i="6" s="1"/>
  <c r="H6814" i="6"/>
  <c r="I6814" i="6" s="1"/>
  <c r="I6815" i="6" s="1"/>
  <c r="H6810" i="6"/>
  <c r="I6810" i="6" s="1"/>
  <c r="H6809" i="6"/>
  <c r="I6809" i="6" s="1"/>
  <c r="H6808" i="6"/>
  <c r="I6808" i="6" s="1"/>
  <c r="H6803" i="6"/>
  <c r="H6801" i="6"/>
  <c r="H6799" i="6"/>
  <c r="I6799" i="6" s="1"/>
  <c r="I6800" i="6" s="1"/>
  <c r="H6797" i="6"/>
  <c r="I6797" i="6" s="1"/>
  <c r="I6798" i="6" s="1"/>
  <c r="H6793" i="6"/>
  <c r="I6793" i="6" s="1"/>
  <c r="H6792" i="6"/>
  <c r="I6792" i="6" s="1"/>
  <c r="H6791" i="6"/>
  <c r="I6791" i="6" s="1"/>
  <c r="H6786" i="6"/>
  <c r="H6784" i="6"/>
  <c r="H6782" i="6"/>
  <c r="I6782" i="6" s="1"/>
  <c r="I6783" i="6" s="1"/>
  <c r="H6780" i="6"/>
  <c r="I6780" i="6" s="1"/>
  <c r="H6779" i="6"/>
  <c r="I6779" i="6" s="1"/>
  <c r="H6775" i="6"/>
  <c r="I6775" i="6" s="1"/>
  <c r="H6773" i="6"/>
  <c r="I6773" i="6" s="1"/>
  <c r="H6768" i="6"/>
  <c r="H6766" i="6"/>
  <c r="H6764" i="6"/>
  <c r="I6764" i="6" s="1"/>
  <c r="I6765" i="6" s="1"/>
  <c r="H6762" i="6"/>
  <c r="I6762" i="6" s="1"/>
  <c r="H6761" i="6"/>
  <c r="I6761" i="6" s="1"/>
  <c r="H6756" i="6"/>
  <c r="I6756" i="6" s="1"/>
  <c r="H6755" i="6"/>
  <c r="I6755" i="6" s="1"/>
  <c r="H6750" i="6"/>
  <c r="H6748" i="6"/>
  <c r="H6746" i="6"/>
  <c r="I6746" i="6" s="1"/>
  <c r="I6747" i="6" s="1"/>
  <c r="H6744" i="6"/>
  <c r="I6744" i="6" s="1"/>
  <c r="H6743" i="6"/>
  <c r="I6743" i="6" s="1"/>
  <c r="H6739" i="6"/>
  <c r="I6739" i="6" s="1"/>
  <c r="H6738" i="6"/>
  <c r="I6738" i="6" s="1"/>
  <c r="H6737" i="6"/>
  <c r="I6737" i="6" s="1"/>
  <c r="H6732" i="6"/>
  <c r="H6730" i="6"/>
  <c r="H6728" i="6"/>
  <c r="I6728" i="6" s="1"/>
  <c r="I6729" i="6" s="1"/>
  <c r="H6726" i="6"/>
  <c r="I6726" i="6" s="1"/>
  <c r="H6725" i="6"/>
  <c r="I6725" i="6" s="1"/>
  <c r="H6721" i="6"/>
  <c r="I6721" i="6" s="1"/>
  <c r="H6720" i="6"/>
  <c r="I6720" i="6" s="1"/>
  <c r="H6719" i="6"/>
  <c r="I6719" i="6" s="1"/>
  <c r="H6714" i="6"/>
  <c r="H6712" i="6"/>
  <c r="H6710" i="6"/>
  <c r="I6710" i="6" s="1"/>
  <c r="I6711" i="6" s="1"/>
  <c r="H6708" i="6"/>
  <c r="I6708" i="6" s="1"/>
  <c r="I6709" i="6" s="1"/>
  <c r="H6704" i="6"/>
  <c r="I6704" i="6" s="1"/>
  <c r="H6703" i="6"/>
  <c r="I6703" i="6" s="1"/>
  <c r="H6702" i="6"/>
  <c r="I6702" i="6" s="1"/>
  <c r="H6697" i="6"/>
  <c r="H6695" i="6"/>
  <c r="H6693" i="6"/>
  <c r="I6693" i="6" s="1"/>
  <c r="I6694" i="6" s="1"/>
  <c r="H6691" i="6"/>
  <c r="I6691" i="6" s="1"/>
  <c r="I6692" i="6" s="1"/>
  <c r="H6687" i="6"/>
  <c r="I6687" i="6" s="1"/>
  <c r="H6686" i="6"/>
  <c r="I6686" i="6" s="1"/>
  <c r="H6685" i="6"/>
  <c r="I6685" i="6" s="1"/>
  <c r="H6680" i="6"/>
  <c r="H6678" i="6"/>
  <c r="H6676" i="6"/>
  <c r="I6676" i="6" s="1"/>
  <c r="I6677" i="6" s="1"/>
  <c r="H6674" i="6"/>
  <c r="I6674" i="6" s="1"/>
  <c r="I6675" i="6" s="1"/>
  <c r="H6670" i="6"/>
  <c r="I6670" i="6" s="1"/>
  <c r="H6669" i="6"/>
  <c r="I6669" i="6" s="1"/>
  <c r="H6668" i="6"/>
  <c r="I6668" i="6" s="1"/>
  <c r="H6663" i="6"/>
  <c r="H6661" i="6"/>
  <c r="H6659" i="6"/>
  <c r="I6659" i="6" s="1"/>
  <c r="I6660" i="6" s="1"/>
  <c r="H6657" i="6"/>
  <c r="I6657" i="6" s="1"/>
  <c r="I6658" i="6" s="1"/>
  <c r="H6653" i="6"/>
  <c r="I6653" i="6" s="1"/>
  <c r="H6652" i="6"/>
  <c r="I6652" i="6" s="1"/>
  <c r="H6651" i="6"/>
  <c r="I6651" i="6" s="1"/>
  <c r="H6646" i="6"/>
  <c r="H6644" i="6"/>
  <c r="H6642" i="6"/>
  <c r="I6642" i="6" s="1"/>
  <c r="I6643" i="6" s="1"/>
  <c r="H6640" i="6"/>
  <c r="I6640" i="6" s="1"/>
  <c r="I6641" i="6" s="1"/>
  <c r="H6636" i="6"/>
  <c r="I6636" i="6" s="1"/>
  <c r="H6635" i="6"/>
  <c r="I6635" i="6" s="1"/>
  <c r="H6634" i="6"/>
  <c r="I6634" i="6" s="1"/>
  <c r="H6629" i="6"/>
  <c r="H6627" i="6"/>
  <c r="H6625" i="6"/>
  <c r="I6625" i="6" s="1"/>
  <c r="I6626" i="6" s="1"/>
  <c r="H6623" i="6"/>
  <c r="I6623" i="6" s="1"/>
  <c r="I6624" i="6" s="1"/>
  <c r="H6619" i="6"/>
  <c r="I6619" i="6" s="1"/>
  <c r="H6618" i="6"/>
  <c r="I6618" i="6" s="1"/>
  <c r="H6617" i="6"/>
  <c r="I6617" i="6" s="1"/>
  <c r="H6612" i="6"/>
  <c r="H6610" i="6"/>
  <c r="H6608" i="6"/>
  <c r="I6608" i="6" s="1"/>
  <c r="I6609" i="6" s="1"/>
  <c r="H6606" i="6"/>
  <c r="I6606" i="6" s="1"/>
  <c r="I6607" i="6" s="1"/>
  <c r="H6602" i="6"/>
  <c r="I6602" i="6" s="1"/>
  <c r="H6601" i="6"/>
  <c r="I6601" i="6" s="1"/>
  <c r="H6600" i="6"/>
  <c r="I6600" i="6" s="1"/>
  <c r="H6595" i="6"/>
  <c r="H6593" i="6"/>
  <c r="H6591" i="6"/>
  <c r="I6591" i="6" s="1"/>
  <c r="I6592" i="6" s="1"/>
  <c r="H6589" i="6"/>
  <c r="I6589" i="6" s="1"/>
  <c r="I6590" i="6" s="1"/>
  <c r="H6585" i="6"/>
  <c r="I6585" i="6" s="1"/>
  <c r="H6584" i="6"/>
  <c r="I6584" i="6" s="1"/>
  <c r="H6583" i="6"/>
  <c r="I6583" i="6" s="1"/>
  <c r="H6582" i="6"/>
  <c r="I6582" i="6" s="1"/>
  <c r="H6577" i="6"/>
  <c r="H6575" i="6"/>
  <c r="H6573" i="6"/>
  <c r="I6573" i="6" s="1"/>
  <c r="I6574" i="6" s="1"/>
  <c r="H6571" i="6"/>
  <c r="I6571" i="6" s="1"/>
  <c r="I6572" i="6" s="1"/>
  <c r="H6567" i="6"/>
  <c r="I6567" i="6" s="1"/>
  <c r="H6565" i="6"/>
  <c r="I6565" i="6" s="1"/>
  <c r="H6564" i="6"/>
  <c r="I6564" i="6" s="1"/>
  <c r="H6559" i="6"/>
  <c r="H6557" i="6"/>
  <c r="H6555" i="6"/>
  <c r="I6555" i="6" s="1"/>
  <c r="I6556" i="6" s="1"/>
  <c r="H6553" i="6"/>
  <c r="I6553" i="6" s="1"/>
  <c r="I6554" i="6" s="1"/>
  <c r="H6548" i="6"/>
  <c r="I6548" i="6" s="1"/>
  <c r="H6547" i="6"/>
  <c r="I6547" i="6" s="1"/>
  <c r="H6542" i="6"/>
  <c r="H6540" i="6"/>
  <c r="H6538" i="6"/>
  <c r="I6538" i="6" s="1"/>
  <c r="I6539" i="6" s="1"/>
  <c r="H6536" i="6"/>
  <c r="I6536" i="6" s="1"/>
  <c r="I6537" i="6" s="1"/>
  <c r="H6531" i="6"/>
  <c r="I6531" i="6" s="1"/>
  <c r="H6530" i="6"/>
  <c r="I6530" i="6" s="1"/>
  <c r="H6525" i="6"/>
  <c r="H6523" i="6"/>
  <c r="H6521" i="6"/>
  <c r="I6521" i="6" s="1"/>
  <c r="I6522" i="6" s="1"/>
  <c r="H6519" i="6"/>
  <c r="I6519" i="6" s="1"/>
  <c r="I6520" i="6" s="1"/>
  <c r="H6514" i="6"/>
  <c r="I6514" i="6" s="1"/>
  <c r="H6513" i="6"/>
  <c r="I6513" i="6" s="1"/>
  <c r="H6508" i="6"/>
  <c r="H6506" i="6"/>
  <c r="H6504" i="6"/>
  <c r="I6504" i="6" s="1"/>
  <c r="I6505" i="6" s="1"/>
  <c r="H6502" i="6"/>
  <c r="I6502" i="6" s="1"/>
  <c r="I6503" i="6" s="1"/>
  <c r="H6497" i="6"/>
  <c r="I6497" i="6" s="1"/>
  <c r="H6496" i="6"/>
  <c r="I6496" i="6" s="1"/>
  <c r="H6491" i="6"/>
  <c r="H6489" i="6"/>
  <c r="H6487" i="6"/>
  <c r="I6487" i="6" s="1"/>
  <c r="I6488" i="6" s="1"/>
  <c r="H6485" i="6"/>
  <c r="I6485" i="6" s="1"/>
  <c r="I6486" i="6" s="1"/>
  <c r="H6480" i="6"/>
  <c r="I6480" i="6" s="1"/>
  <c r="H6479" i="6"/>
  <c r="I6479" i="6" s="1"/>
  <c r="H6474" i="6"/>
  <c r="H6472" i="6"/>
  <c r="H6470" i="6"/>
  <c r="I6470" i="6" s="1"/>
  <c r="I6471" i="6" s="1"/>
  <c r="H6468" i="6"/>
  <c r="I6468" i="6" s="1"/>
  <c r="I6469" i="6" s="1"/>
  <c r="H6463" i="6"/>
  <c r="I6463" i="6" s="1"/>
  <c r="H6462" i="6"/>
  <c r="I6462" i="6" s="1"/>
  <c r="H6456" i="6"/>
  <c r="H6454" i="6"/>
  <c r="H6452" i="6"/>
  <c r="I6452" i="6" s="1"/>
  <c r="I6453" i="6" s="1"/>
  <c r="H6450" i="6"/>
  <c r="I6450" i="6" s="1"/>
  <c r="H6449" i="6"/>
  <c r="I6449" i="6" s="1"/>
  <c r="H6448" i="6"/>
  <c r="I6448" i="6" s="1"/>
  <c r="H6447" i="6"/>
  <c r="I6447" i="6" s="1"/>
  <c r="H6443" i="6"/>
  <c r="I6443" i="6" s="1"/>
  <c r="H6441" i="6"/>
  <c r="I6441" i="6" s="1"/>
  <c r="H6436" i="6"/>
  <c r="H6434" i="6"/>
  <c r="H6432" i="6"/>
  <c r="I6432" i="6" s="1"/>
  <c r="I6433" i="6" s="1"/>
  <c r="H6430" i="6"/>
  <c r="I6430" i="6" s="1"/>
  <c r="H6429" i="6"/>
  <c r="I6429" i="6" s="1"/>
  <c r="H6424" i="6"/>
  <c r="I6424" i="6" s="1"/>
  <c r="H6423" i="6"/>
  <c r="I6423" i="6" s="1"/>
  <c r="H6418" i="6"/>
  <c r="H6416" i="6"/>
  <c r="H6414" i="6"/>
  <c r="I6414" i="6" s="1"/>
  <c r="I6415" i="6" s="1"/>
  <c r="H6412" i="6"/>
  <c r="I6412" i="6" s="1"/>
  <c r="H6411" i="6"/>
  <c r="I6411" i="6" s="1"/>
  <c r="H6410" i="6"/>
  <c r="I6410" i="6" s="1"/>
  <c r="H6406" i="6"/>
  <c r="I6406" i="6" s="1"/>
  <c r="H6405" i="6"/>
  <c r="I6405" i="6" s="1"/>
  <c r="H6404" i="6"/>
  <c r="I6404" i="6" s="1"/>
  <c r="H6399" i="6"/>
  <c r="H6397" i="6"/>
  <c r="H6395" i="6"/>
  <c r="I6395" i="6" s="1"/>
  <c r="I6396" i="6" s="1"/>
  <c r="H6393" i="6"/>
  <c r="I6393" i="6" s="1"/>
  <c r="H6392" i="6"/>
  <c r="I6392" i="6" s="1"/>
  <c r="H6391" i="6"/>
  <c r="I6391" i="6" s="1"/>
  <c r="H6390" i="6"/>
  <c r="I6390" i="6" s="1"/>
  <c r="H6386" i="6"/>
  <c r="I6386" i="6" s="1"/>
  <c r="H6385" i="6"/>
  <c r="I6385" i="6" s="1"/>
  <c r="H6384" i="6"/>
  <c r="I6384" i="6" s="1"/>
  <c r="H6379" i="6"/>
  <c r="H6377" i="6"/>
  <c r="H6375" i="6"/>
  <c r="I6375" i="6" s="1"/>
  <c r="I6376" i="6" s="1"/>
  <c r="H6373" i="6"/>
  <c r="I6373" i="6" s="1"/>
  <c r="H6372" i="6"/>
  <c r="I6372" i="6" s="1"/>
  <c r="H6371" i="6"/>
  <c r="I6371" i="6" s="1"/>
  <c r="H6370" i="6"/>
  <c r="I6370" i="6" s="1"/>
  <c r="H6365" i="6"/>
  <c r="I6365" i="6" s="1"/>
  <c r="H6364" i="6"/>
  <c r="I6364" i="6" s="1"/>
  <c r="H6359" i="6"/>
  <c r="H6357" i="6"/>
  <c r="H6355" i="6"/>
  <c r="I6355" i="6" s="1"/>
  <c r="I6356" i="6" s="1"/>
  <c r="H6353" i="6"/>
  <c r="I6353" i="6" s="1"/>
  <c r="H6352" i="6"/>
  <c r="I6352" i="6" s="1"/>
  <c r="H6348" i="6"/>
  <c r="I6348" i="6" s="1"/>
  <c r="H6347" i="6"/>
  <c r="I6347" i="6" s="1"/>
  <c r="H6346" i="6"/>
  <c r="I6346" i="6" s="1"/>
  <c r="H6341" i="6"/>
  <c r="H6339" i="6"/>
  <c r="H6337" i="6"/>
  <c r="I6337" i="6" s="1"/>
  <c r="I6338" i="6" s="1"/>
  <c r="H6335" i="6"/>
  <c r="I6335" i="6" s="1"/>
  <c r="H6334" i="6"/>
  <c r="I6334" i="6" s="1"/>
  <c r="H6330" i="6"/>
  <c r="I6330" i="6" s="1"/>
  <c r="H6329" i="6"/>
  <c r="I6329" i="6" s="1"/>
  <c r="H6328" i="6"/>
  <c r="I6328" i="6" s="1"/>
  <c r="H6323" i="6"/>
  <c r="H6321" i="6"/>
  <c r="H6319" i="6"/>
  <c r="I6319" i="6" s="1"/>
  <c r="I6320" i="6" s="1"/>
  <c r="H6317" i="6"/>
  <c r="I6317" i="6" s="1"/>
  <c r="H6316" i="6"/>
  <c r="I6316" i="6" s="1"/>
  <c r="H6312" i="6"/>
  <c r="I6312" i="6" s="1"/>
  <c r="H6310" i="6"/>
  <c r="I6310" i="6" s="1"/>
  <c r="H6305" i="6"/>
  <c r="H6303" i="6"/>
  <c r="H6301" i="6"/>
  <c r="I6301" i="6" s="1"/>
  <c r="I6302" i="6" s="1"/>
  <c r="H6299" i="6"/>
  <c r="I6299" i="6" s="1"/>
  <c r="H6298" i="6"/>
  <c r="I6298" i="6" s="1"/>
  <c r="H6293" i="6"/>
  <c r="I6293" i="6" s="1"/>
  <c r="H6292" i="6"/>
  <c r="I6292" i="6" s="1"/>
  <c r="H6287" i="6"/>
  <c r="H6285" i="6"/>
  <c r="H6283" i="6"/>
  <c r="I6283" i="6" s="1"/>
  <c r="I6284" i="6" s="1"/>
  <c r="H6281" i="6"/>
  <c r="I6281" i="6" s="1"/>
  <c r="H6280" i="6"/>
  <c r="I6280" i="6" s="1"/>
  <c r="H6276" i="6"/>
  <c r="I6276" i="6" s="1"/>
  <c r="H6275" i="6"/>
  <c r="I6275" i="6" s="1"/>
  <c r="H6274" i="6"/>
  <c r="I6274" i="6" s="1"/>
  <c r="H6269" i="6"/>
  <c r="H6267" i="6"/>
  <c r="H6265" i="6"/>
  <c r="I6265" i="6" s="1"/>
  <c r="I6266" i="6" s="1"/>
  <c r="H6263" i="6"/>
  <c r="I6263" i="6" s="1"/>
  <c r="H6262" i="6"/>
  <c r="I6262" i="6" s="1"/>
  <c r="H6258" i="6"/>
  <c r="I6258" i="6" s="1"/>
  <c r="H6257" i="6"/>
  <c r="I6257" i="6" s="1"/>
  <c r="H6256" i="6"/>
  <c r="I6256" i="6" s="1"/>
  <c r="H6251" i="6"/>
  <c r="H6249" i="6"/>
  <c r="H6247" i="6"/>
  <c r="I6247" i="6" s="1"/>
  <c r="I6248" i="6" s="1"/>
  <c r="H6245" i="6"/>
  <c r="I6245" i="6" s="1"/>
  <c r="H6244" i="6"/>
  <c r="I6244" i="6" s="1"/>
  <c r="H6243" i="6"/>
  <c r="I6243" i="6" s="1"/>
  <c r="H6238" i="6"/>
  <c r="I6238" i="6" s="1"/>
  <c r="H6237" i="6"/>
  <c r="I6237" i="6" s="1"/>
  <c r="H6232" i="6"/>
  <c r="H6230" i="6"/>
  <c r="H6228" i="6"/>
  <c r="I6228" i="6" s="1"/>
  <c r="I6229" i="6" s="1"/>
  <c r="H6226" i="6"/>
  <c r="I6226" i="6" s="1"/>
  <c r="H6225" i="6"/>
  <c r="I6225" i="6" s="1"/>
  <c r="H6224" i="6"/>
  <c r="I6224" i="6" s="1"/>
  <c r="H6220" i="6"/>
  <c r="I6220" i="6" s="1"/>
  <c r="H6219" i="6"/>
  <c r="I6219" i="6" s="1"/>
  <c r="H6218" i="6"/>
  <c r="I6218" i="6" s="1"/>
  <c r="H6213" i="6"/>
  <c r="H6211" i="6"/>
  <c r="H6209" i="6"/>
  <c r="I6209" i="6" s="1"/>
  <c r="I6210" i="6" s="1"/>
  <c r="H6207" i="6"/>
  <c r="I6207" i="6" s="1"/>
  <c r="H6206" i="6"/>
  <c r="I6206" i="6" s="1"/>
  <c r="H6205" i="6"/>
  <c r="I6205" i="6" s="1"/>
  <c r="H6200" i="6"/>
  <c r="I6200" i="6" s="1"/>
  <c r="H6199" i="6"/>
  <c r="I6199" i="6" s="1"/>
  <c r="H6194" i="6"/>
  <c r="H6192" i="6"/>
  <c r="H6190" i="6"/>
  <c r="I6190" i="6" s="1"/>
  <c r="I6191" i="6" s="1"/>
  <c r="H6188" i="6"/>
  <c r="I6188" i="6" s="1"/>
  <c r="H6187" i="6"/>
  <c r="I6187" i="6" s="1"/>
  <c r="H6186" i="6"/>
  <c r="I6186" i="6" s="1"/>
  <c r="H6182" i="6"/>
  <c r="I6182" i="6" s="1"/>
  <c r="H6181" i="6"/>
  <c r="I6181" i="6" s="1"/>
  <c r="H6180" i="6"/>
  <c r="I6180" i="6" s="1"/>
  <c r="H6175" i="6"/>
  <c r="H6173" i="6"/>
  <c r="H6171" i="6"/>
  <c r="I6171" i="6" s="1"/>
  <c r="I6172" i="6" s="1"/>
  <c r="H6169" i="6"/>
  <c r="I6169" i="6" s="1"/>
  <c r="H6168" i="6"/>
  <c r="I6168" i="6" s="1"/>
  <c r="H6167" i="6"/>
  <c r="I6167" i="6" s="1"/>
  <c r="H6162" i="6"/>
  <c r="I6162" i="6" s="1"/>
  <c r="H6161" i="6"/>
  <c r="I6161" i="6" s="1"/>
  <c r="H6156" i="6"/>
  <c r="H6154" i="6"/>
  <c r="H6152" i="6"/>
  <c r="I6152" i="6" s="1"/>
  <c r="I6153" i="6" s="1"/>
  <c r="H6150" i="6"/>
  <c r="I6150" i="6" s="1"/>
  <c r="H6149" i="6"/>
  <c r="I6149" i="6" s="1"/>
  <c r="H6148" i="6"/>
  <c r="I6148" i="6" s="1"/>
  <c r="H6147" i="6"/>
  <c r="I6147" i="6" s="1"/>
  <c r="H6146" i="6"/>
  <c r="I6146" i="6" s="1"/>
  <c r="H6141" i="6"/>
  <c r="I6141" i="6" s="1"/>
  <c r="H6140" i="6"/>
  <c r="I6140" i="6" s="1"/>
  <c r="H6135" i="6"/>
  <c r="H6133" i="6"/>
  <c r="H6131" i="6"/>
  <c r="I6131" i="6" s="1"/>
  <c r="I6132" i="6" s="1"/>
  <c r="H6129" i="6"/>
  <c r="I6129" i="6" s="1"/>
  <c r="H6128" i="6"/>
  <c r="I6128" i="6" s="1"/>
  <c r="H6127" i="6"/>
  <c r="I6127" i="6" s="1"/>
  <c r="H6126" i="6"/>
  <c r="I6126" i="6" s="1"/>
  <c r="H6122" i="6"/>
  <c r="I6122" i="6" s="1"/>
  <c r="H6120" i="6"/>
  <c r="I6120" i="6" s="1"/>
  <c r="H6115" i="6"/>
  <c r="H6113" i="6"/>
  <c r="H6111" i="6"/>
  <c r="I6111" i="6" s="1"/>
  <c r="I6112" i="6" s="1"/>
  <c r="H6109" i="6"/>
  <c r="I6109" i="6" s="1"/>
  <c r="H6108" i="6"/>
  <c r="I6108" i="6" s="1"/>
  <c r="H6103" i="6"/>
  <c r="I6103" i="6" s="1"/>
  <c r="H6102" i="6"/>
  <c r="I6102" i="6" s="1"/>
  <c r="H6097" i="6"/>
  <c r="H6095" i="6"/>
  <c r="H6093" i="6"/>
  <c r="I6093" i="6" s="1"/>
  <c r="I6094" i="6" s="1"/>
  <c r="H6091" i="6"/>
  <c r="I6091" i="6" s="1"/>
  <c r="H6090" i="6"/>
  <c r="I6090" i="6" s="1"/>
  <c r="H6089" i="6"/>
  <c r="I6089" i="6" s="1"/>
  <c r="H6088" i="6"/>
  <c r="I6088" i="6" s="1"/>
  <c r="H6084" i="6"/>
  <c r="I6084" i="6" s="1"/>
  <c r="H6082" i="6"/>
  <c r="I6082" i="6" s="1"/>
  <c r="H6077" i="6"/>
  <c r="H6075" i="6"/>
  <c r="H6073" i="6"/>
  <c r="I6073" i="6" s="1"/>
  <c r="I6074" i="6" s="1"/>
  <c r="H6071" i="6"/>
  <c r="I6071" i="6" s="1"/>
  <c r="H6070" i="6"/>
  <c r="I6070" i="6" s="1"/>
  <c r="H6069" i="6"/>
  <c r="I6069" i="6" s="1"/>
  <c r="H6068" i="6"/>
  <c r="I6068" i="6" s="1"/>
  <c r="H6064" i="6"/>
  <c r="I6064" i="6" s="1"/>
  <c r="H6063" i="6"/>
  <c r="I6063" i="6" s="1"/>
  <c r="H6062" i="6"/>
  <c r="I6062" i="6" s="1"/>
  <c r="H6057" i="6"/>
  <c r="H6055" i="6"/>
  <c r="H6053" i="6"/>
  <c r="I6053" i="6" s="1"/>
  <c r="I6054" i="6" s="1"/>
  <c r="H6051" i="6"/>
  <c r="I6051" i="6" s="1"/>
  <c r="H6050" i="6"/>
  <c r="I6050" i="6" s="1"/>
  <c r="H6047" i="6"/>
  <c r="I6047" i="6" s="1"/>
  <c r="H6046" i="6"/>
  <c r="I6046" i="6" s="1"/>
  <c r="H6044" i="6"/>
  <c r="I6044" i="6" s="1"/>
  <c r="H6039" i="6"/>
  <c r="H6037" i="6"/>
  <c r="H6035" i="6"/>
  <c r="I6035" i="6" s="1"/>
  <c r="I6036" i="6" s="1"/>
  <c r="H6033" i="6"/>
  <c r="I6033" i="6" s="1"/>
  <c r="H6032" i="6"/>
  <c r="I6032" i="6" s="1"/>
  <c r="H6029" i="6"/>
  <c r="I6029" i="6" s="1"/>
  <c r="H6027" i="6"/>
  <c r="I6027" i="6" s="1"/>
  <c r="H6026" i="6"/>
  <c r="I6026" i="6" s="1"/>
  <c r="H6021" i="6"/>
  <c r="H6019" i="6"/>
  <c r="H6017" i="6"/>
  <c r="I6017" i="6" s="1"/>
  <c r="I6018" i="6" s="1"/>
  <c r="H6015" i="6"/>
  <c r="I6015" i="6" s="1"/>
  <c r="H6014" i="6"/>
  <c r="I6014" i="6" s="1"/>
  <c r="H6011" i="6"/>
  <c r="I6011" i="6" s="1"/>
  <c r="H6010" i="6"/>
  <c r="I6010" i="6" s="1"/>
  <c r="H6009" i="6"/>
  <c r="I6009" i="6" s="1"/>
  <c r="H6008" i="6"/>
  <c r="I6008" i="6" s="1"/>
  <c r="H6003" i="6"/>
  <c r="H6001" i="6"/>
  <c r="H5999" i="6"/>
  <c r="I5999" i="6" s="1"/>
  <c r="I6000" i="6" s="1"/>
  <c r="H5997" i="6"/>
  <c r="I5997" i="6" s="1"/>
  <c r="H5996" i="6"/>
  <c r="I5996" i="6" s="1"/>
  <c r="H5992" i="6"/>
  <c r="I5992" i="6" s="1"/>
  <c r="H5991" i="6"/>
  <c r="I5991" i="6" s="1"/>
  <c r="H5990" i="6"/>
  <c r="I5990" i="6" s="1"/>
  <c r="H5985" i="6"/>
  <c r="H5983" i="6"/>
  <c r="H5981" i="6"/>
  <c r="I5981" i="6" s="1"/>
  <c r="I5982" i="6" s="1"/>
  <c r="H5979" i="6"/>
  <c r="I5979" i="6" s="1"/>
  <c r="H5978" i="6"/>
  <c r="I5978" i="6" s="1"/>
  <c r="H5974" i="6"/>
  <c r="I5974" i="6" s="1"/>
  <c r="H5972" i="6"/>
  <c r="I5972" i="6" s="1"/>
  <c r="H5967" i="6"/>
  <c r="H5965" i="6"/>
  <c r="H5963" i="6"/>
  <c r="I5963" i="6" s="1"/>
  <c r="I5964" i="6" s="1"/>
  <c r="H5961" i="6"/>
  <c r="I5961" i="6" s="1"/>
  <c r="H5960" i="6"/>
  <c r="I5960" i="6" s="1"/>
  <c r="H5959" i="6"/>
  <c r="I5959" i="6" s="1"/>
  <c r="H5955" i="6"/>
  <c r="I5955" i="6" s="1"/>
  <c r="H5954" i="6"/>
  <c r="I5954" i="6" s="1"/>
  <c r="H5953" i="6"/>
  <c r="I5953" i="6" s="1"/>
  <c r="H5948" i="6"/>
  <c r="H5946" i="6"/>
  <c r="H5944" i="6"/>
  <c r="I5944" i="6" s="1"/>
  <c r="I5945" i="6" s="1"/>
  <c r="H5942" i="6"/>
  <c r="I5942" i="6" s="1"/>
  <c r="H5941" i="6"/>
  <c r="I5941" i="6" s="1"/>
  <c r="H5940" i="6"/>
  <c r="I5940" i="6" s="1"/>
  <c r="H5936" i="6"/>
  <c r="I5936" i="6" s="1"/>
  <c r="H5934" i="6"/>
  <c r="I5934" i="6" s="1"/>
  <c r="H5928" i="6"/>
  <c r="H5926" i="6"/>
  <c r="H5924" i="6"/>
  <c r="I5924" i="6" s="1"/>
  <c r="I5925" i="6" s="1"/>
  <c r="H5922" i="6"/>
  <c r="I5922" i="6" s="1"/>
  <c r="I5923" i="6" s="1"/>
  <c r="H5919" i="6"/>
  <c r="I5919" i="6" s="1"/>
  <c r="H5918" i="6"/>
  <c r="I5918" i="6" s="1"/>
  <c r="H5916" i="6"/>
  <c r="I5916" i="6" s="1"/>
  <c r="H5911" i="6"/>
  <c r="H5909" i="6"/>
  <c r="H5907" i="6"/>
  <c r="I5907" i="6" s="1"/>
  <c r="I5908" i="6" s="1"/>
  <c r="H5905" i="6"/>
  <c r="I5905" i="6" s="1"/>
  <c r="H5904" i="6"/>
  <c r="I5904" i="6" s="1"/>
  <c r="H5901" i="6"/>
  <c r="I5901" i="6" s="1"/>
  <c r="H5899" i="6"/>
  <c r="I5899" i="6" s="1"/>
  <c r="H5898" i="6"/>
  <c r="I5898" i="6" s="1"/>
  <c r="H5893" i="6"/>
  <c r="H5891" i="6"/>
  <c r="H5889" i="6"/>
  <c r="I5889" i="6" s="1"/>
  <c r="I5890" i="6" s="1"/>
  <c r="H5887" i="6"/>
  <c r="I5887" i="6" s="1"/>
  <c r="H5886" i="6"/>
  <c r="I5886" i="6" s="1"/>
  <c r="H5883" i="6"/>
  <c r="I5883" i="6" s="1"/>
  <c r="H5882" i="6"/>
  <c r="I5882" i="6" s="1"/>
  <c r="H5881" i="6"/>
  <c r="I5881" i="6" s="1"/>
  <c r="H5880" i="6"/>
  <c r="I5880" i="6" s="1"/>
  <c r="H5875" i="6"/>
  <c r="H5873" i="6"/>
  <c r="H5871" i="6"/>
  <c r="I5871" i="6" s="1"/>
  <c r="I5872" i="6" s="1"/>
  <c r="H5869" i="6"/>
  <c r="I5869" i="6" s="1"/>
  <c r="H5868" i="6"/>
  <c r="I5868" i="6" s="1"/>
  <c r="H5864" i="6"/>
  <c r="I5864" i="6" s="1"/>
  <c r="H5863" i="6"/>
  <c r="I5863" i="6" s="1"/>
  <c r="H5862" i="6"/>
  <c r="I5862" i="6" s="1"/>
  <c r="H5857" i="6"/>
  <c r="H5855" i="6"/>
  <c r="H5853" i="6"/>
  <c r="I5853" i="6" s="1"/>
  <c r="I5854" i="6" s="1"/>
  <c r="H5851" i="6"/>
  <c r="I5851" i="6" s="1"/>
  <c r="H5850" i="6"/>
  <c r="I5850" i="6" s="1"/>
  <c r="H5846" i="6"/>
  <c r="I5846" i="6" s="1"/>
  <c r="H5844" i="6"/>
  <c r="I5844" i="6" s="1"/>
  <c r="H5843" i="6"/>
  <c r="I5843" i="6" s="1"/>
  <c r="H5838" i="6"/>
  <c r="H5836" i="6"/>
  <c r="H5834" i="6"/>
  <c r="I5834" i="6" s="1"/>
  <c r="I5835" i="6" s="1"/>
  <c r="H5832" i="6"/>
  <c r="I5832" i="6" s="1"/>
  <c r="H5831" i="6"/>
  <c r="I5831" i="6" s="1"/>
  <c r="H5830" i="6"/>
  <c r="I5830" i="6" s="1"/>
  <c r="H5826" i="6"/>
  <c r="I5826" i="6" s="1"/>
  <c r="H5825" i="6"/>
  <c r="I5825" i="6" s="1"/>
  <c r="H5824" i="6"/>
  <c r="I5824" i="6" s="1"/>
  <c r="H5819" i="6"/>
  <c r="H5817" i="6"/>
  <c r="H5815" i="6"/>
  <c r="I5815" i="6" s="1"/>
  <c r="I5816" i="6" s="1"/>
  <c r="H5813" i="6"/>
  <c r="I5813" i="6" s="1"/>
  <c r="H5812" i="6"/>
  <c r="I5812" i="6" s="1"/>
  <c r="H5808" i="6"/>
  <c r="I5808" i="6" s="1"/>
  <c r="H5806" i="6"/>
  <c r="I5806" i="6" s="1"/>
  <c r="H5801" i="6"/>
  <c r="H5799" i="6"/>
  <c r="H5797" i="6"/>
  <c r="I5797" i="6" s="1"/>
  <c r="I5798" i="6" s="1"/>
  <c r="H5795" i="6"/>
  <c r="I5795" i="6" s="1"/>
  <c r="H5794" i="6"/>
  <c r="I5794" i="6" s="1"/>
  <c r="H5793" i="6"/>
  <c r="I5793" i="6" s="1"/>
  <c r="H5789" i="6"/>
  <c r="I5789" i="6" s="1"/>
  <c r="H5788" i="6"/>
  <c r="I5788" i="6" s="1"/>
  <c r="H5787" i="6"/>
  <c r="I5787" i="6" s="1"/>
  <c r="H5782" i="6"/>
  <c r="H5780" i="6"/>
  <c r="H5778" i="6"/>
  <c r="I5778" i="6" s="1"/>
  <c r="I5779" i="6" s="1"/>
  <c r="H5776" i="6"/>
  <c r="I5776" i="6" s="1"/>
  <c r="H5775" i="6"/>
  <c r="I5775" i="6" s="1"/>
  <c r="H5774" i="6"/>
  <c r="I5774" i="6" s="1"/>
  <c r="H5773" i="6"/>
  <c r="I5773" i="6" s="1"/>
  <c r="H5772" i="6"/>
  <c r="I5772" i="6" s="1"/>
  <c r="H5768" i="6"/>
  <c r="I5768" i="6" s="1"/>
  <c r="H5767" i="6"/>
  <c r="I5767" i="6" s="1"/>
  <c r="H5766" i="6"/>
  <c r="I5766" i="6" s="1"/>
  <c r="H5761" i="6"/>
  <c r="H5759" i="6"/>
  <c r="H5757" i="6"/>
  <c r="I5757" i="6" s="1"/>
  <c r="I5758" i="6" s="1"/>
  <c r="H5755" i="6"/>
  <c r="I5755" i="6" s="1"/>
  <c r="H5754" i="6"/>
  <c r="I5754" i="6" s="1"/>
  <c r="H5750" i="6"/>
  <c r="I5750" i="6" s="1"/>
  <c r="H5749" i="6"/>
  <c r="I5749" i="6" s="1"/>
  <c r="H5748" i="6"/>
  <c r="I5748" i="6" s="1"/>
  <c r="H5741" i="6"/>
  <c r="H5739" i="6"/>
  <c r="H5737" i="6"/>
  <c r="I5737" i="6" s="1"/>
  <c r="I5738" i="6" s="1"/>
  <c r="H5735" i="6"/>
  <c r="I5735" i="6" s="1"/>
  <c r="H5734" i="6"/>
  <c r="I5734" i="6" s="1"/>
  <c r="H5730" i="6"/>
  <c r="I5730" i="6" s="1"/>
  <c r="H5728" i="6"/>
  <c r="I5728" i="6" s="1"/>
  <c r="H5723" i="6"/>
  <c r="H5721" i="6"/>
  <c r="H5719" i="6"/>
  <c r="I5719" i="6" s="1"/>
  <c r="I5720" i="6" s="1"/>
  <c r="H5717" i="6"/>
  <c r="I5717" i="6" s="1"/>
  <c r="H5716" i="6"/>
  <c r="I5716" i="6" s="1"/>
  <c r="H5711" i="6"/>
  <c r="I5711" i="6" s="1"/>
  <c r="H5710" i="6"/>
  <c r="I5710" i="6" s="1"/>
  <c r="H5705" i="6"/>
  <c r="H5703" i="6"/>
  <c r="H5701" i="6"/>
  <c r="I5701" i="6" s="1"/>
  <c r="I5702" i="6" s="1"/>
  <c r="H5699" i="6"/>
  <c r="I5699" i="6" s="1"/>
  <c r="H5698" i="6"/>
  <c r="I5698" i="6" s="1"/>
  <c r="H5697" i="6"/>
  <c r="I5697" i="6" s="1"/>
  <c r="H5696" i="6"/>
  <c r="I5696" i="6" s="1"/>
  <c r="H5692" i="6"/>
  <c r="I5692" i="6" s="1"/>
  <c r="H5690" i="6"/>
  <c r="I5690" i="6" s="1"/>
  <c r="H5685" i="6"/>
  <c r="H5683" i="6"/>
  <c r="H5681" i="6"/>
  <c r="I5681" i="6" s="1"/>
  <c r="I5682" i="6" s="1"/>
  <c r="H5679" i="6"/>
  <c r="I5679" i="6" s="1"/>
  <c r="H5678" i="6"/>
  <c r="I5678" i="6" s="1"/>
  <c r="H5673" i="6"/>
  <c r="I5673" i="6" s="1"/>
  <c r="H5672" i="6"/>
  <c r="I5672" i="6" s="1"/>
  <c r="H5667" i="6"/>
  <c r="H5665" i="6"/>
  <c r="H5663" i="6"/>
  <c r="I5663" i="6" s="1"/>
  <c r="I5664" i="6" s="1"/>
  <c r="H5661" i="6"/>
  <c r="I5661" i="6" s="1"/>
  <c r="H5660" i="6"/>
  <c r="I5660" i="6" s="1"/>
  <c r="H5656" i="6"/>
  <c r="I5656" i="6" s="1"/>
  <c r="H5655" i="6"/>
  <c r="I5655" i="6" s="1"/>
  <c r="H5654" i="6"/>
  <c r="I5654" i="6" s="1"/>
  <c r="H5649" i="6"/>
  <c r="H5647" i="6"/>
  <c r="H5645" i="6"/>
  <c r="I5645" i="6" s="1"/>
  <c r="I5646" i="6" s="1"/>
  <c r="H5643" i="6"/>
  <c r="I5643" i="6" s="1"/>
  <c r="H5642" i="6"/>
  <c r="I5642" i="6" s="1"/>
  <c r="H5638" i="6"/>
  <c r="I5638" i="6" s="1"/>
  <c r="H5637" i="6"/>
  <c r="I5637" i="6" s="1"/>
  <c r="H5636" i="6"/>
  <c r="I5636" i="6" s="1"/>
  <c r="H5631" i="6"/>
  <c r="H5629" i="6"/>
  <c r="H5627" i="6"/>
  <c r="I5627" i="6" s="1"/>
  <c r="I5628" i="6" s="1"/>
  <c r="H5625" i="6"/>
  <c r="I5625" i="6" s="1"/>
  <c r="H5624" i="6"/>
  <c r="I5624" i="6" s="1"/>
  <c r="H5620" i="6"/>
  <c r="I5620" i="6" s="1"/>
  <c r="H5618" i="6"/>
  <c r="I5618" i="6" s="1"/>
  <c r="H5613" i="6"/>
  <c r="H5611" i="6"/>
  <c r="H5609" i="6"/>
  <c r="I5609" i="6" s="1"/>
  <c r="I5610" i="6" s="1"/>
  <c r="H5607" i="6"/>
  <c r="I5607" i="6" s="1"/>
  <c r="H5606" i="6"/>
  <c r="I5606" i="6" s="1"/>
  <c r="H5601" i="6"/>
  <c r="I5601" i="6" s="1"/>
  <c r="H5600" i="6"/>
  <c r="I5600" i="6" s="1"/>
  <c r="H5595" i="6"/>
  <c r="H5593" i="6"/>
  <c r="H5591" i="6"/>
  <c r="I5591" i="6" s="1"/>
  <c r="I5592" i="6" s="1"/>
  <c r="H5589" i="6"/>
  <c r="I5589" i="6" s="1"/>
  <c r="H5588" i="6"/>
  <c r="I5588" i="6" s="1"/>
  <c r="H5584" i="6"/>
  <c r="I5584" i="6" s="1"/>
  <c r="H5583" i="6"/>
  <c r="I5583" i="6" s="1"/>
  <c r="H5582" i="6"/>
  <c r="I5582" i="6" s="1"/>
  <c r="H5577" i="6"/>
  <c r="H5575" i="6"/>
  <c r="H5573" i="6"/>
  <c r="I5573" i="6" s="1"/>
  <c r="I5574" i="6" s="1"/>
  <c r="H5571" i="6"/>
  <c r="I5571" i="6" s="1"/>
  <c r="H5570" i="6"/>
  <c r="I5570" i="6" s="1"/>
  <c r="H5566" i="6"/>
  <c r="I5566" i="6" s="1"/>
  <c r="H5565" i="6"/>
  <c r="I5565" i="6" s="1"/>
  <c r="H5564" i="6"/>
  <c r="I5564" i="6" s="1"/>
  <c r="H5559" i="6"/>
  <c r="H5557" i="6"/>
  <c r="H5555" i="6"/>
  <c r="I5555" i="6" s="1"/>
  <c r="I5556" i="6" s="1"/>
  <c r="H5553" i="6"/>
  <c r="I5553" i="6" s="1"/>
  <c r="H5552" i="6"/>
  <c r="I5552" i="6" s="1"/>
  <c r="H5548" i="6"/>
  <c r="I5548" i="6" s="1"/>
  <c r="H5546" i="6"/>
  <c r="I5546" i="6" s="1"/>
  <c r="H5541" i="6"/>
  <c r="H5539" i="6"/>
  <c r="H5537" i="6"/>
  <c r="I5537" i="6" s="1"/>
  <c r="I5538" i="6" s="1"/>
  <c r="H5535" i="6"/>
  <c r="I5535" i="6" s="1"/>
  <c r="H5534" i="6"/>
  <c r="I5534" i="6" s="1"/>
  <c r="H5529" i="6"/>
  <c r="I5529" i="6" s="1"/>
  <c r="H5528" i="6"/>
  <c r="I5528" i="6" s="1"/>
  <c r="H5523" i="6"/>
  <c r="H5521" i="6"/>
  <c r="H5519" i="6"/>
  <c r="I5519" i="6" s="1"/>
  <c r="I5520" i="6" s="1"/>
  <c r="H5517" i="6"/>
  <c r="I5517" i="6" s="1"/>
  <c r="H5516" i="6"/>
  <c r="I5516" i="6" s="1"/>
  <c r="H5512" i="6"/>
  <c r="I5512" i="6" s="1"/>
  <c r="H5511" i="6"/>
  <c r="I5511" i="6" s="1"/>
  <c r="H5510" i="6"/>
  <c r="I5510" i="6" s="1"/>
  <c r="H5505" i="6"/>
  <c r="H5503" i="6"/>
  <c r="H5501" i="6"/>
  <c r="I5501" i="6" s="1"/>
  <c r="I5502" i="6" s="1"/>
  <c r="H5499" i="6"/>
  <c r="I5499" i="6" s="1"/>
  <c r="H5498" i="6"/>
  <c r="I5498" i="6" s="1"/>
  <c r="H5494" i="6"/>
  <c r="I5494" i="6" s="1"/>
  <c r="H5493" i="6"/>
  <c r="I5493" i="6" s="1"/>
  <c r="H5492" i="6"/>
  <c r="I5492" i="6" s="1"/>
  <c r="H5487" i="6"/>
  <c r="H5485" i="6"/>
  <c r="H5483" i="6"/>
  <c r="I5483" i="6" s="1"/>
  <c r="I5484" i="6" s="1"/>
  <c r="H5481" i="6"/>
  <c r="I5481" i="6" s="1"/>
  <c r="H5480" i="6"/>
  <c r="I5480" i="6" s="1"/>
  <c r="H5476" i="6"/>
  <c r="I5476" i="6" s="1"/>
  <c r="H5474" i="6"/>
  <c r="I5474" i="6" s="1"/>
  <c r="H5469" i="6"/>
  <c r="H5467" i="6"/>
  <c r="H5465" i="6"/>
  <c r="I5465" i="6" s="1"/>
  <c r="I5466" i="6" s="1"/>
  <c r="H5463" i="6"/>
  <c r="I5463" i="6" s="1"/>
  <c r="H5462" i="6"/>
  <c r="I5462" i="6" s="1"/>
  <c r="H5457" i="6"/>
  <c r="I5457" i="6" s="1"/>
  <c r="H5456" i="6"/>
  <c r="I5456" i="6" s="1"/>
  <c r="H5451" i="6"/>
  <c r="H5449" i="6"/>
  <c r="H5447" i="6"/>
  <c r="I5447" i="6" s="1"/>
  <c r="I5448" i="6" s="1"/>
  <c r="H5445" i="6"/>
  <c r="I5445" i="6" s="1"/>
  <c r="H5444" i="6"/>
  <c r="I5444" i="6" s="1"/>
  <c r="H5440" i="6"/>
  <c r="I5440" i="6" s="1"/>
  <c r="H5439" i="6"/>
  <c r="I5439" i="6" s="1"/>
  <c r="H5438" i="6"/>
  <c r="I5438" i="6" s="1"/>
  <c r="H5433" i="6"/>
  <c r="H5431" i="6"/>
  <c r="H5429" i="6"/>
  <c r="I5429" i="6" s="1"/>
  <c r="I5430" i="6" s="1"/>
  <c r="H5427" i="6"/>
  <c r="I5427" i="6" s="1"/>
  <c r="H5426" i="6"/>
  <c r="I5426" i="6" s="1"/>
  <c r="H5422" i="6"/>
  <c r="I5422" i="6" s="1"/>
  <c r="H5421" i="6"/>
  <c r="I5421" i="6" s="1"/>
  <c r="H5420" i="6"/>
  <c r="I5420" i="6" s="1"/>
  <c r="H5415" i="6"/>
  <c r="H5413" i="6"/>
  <c r="H5411" i="6"/>
  <c r="I5411" i="6" s="1"/>
  <c r="I5412" i="6" s="1"/>
  <c r="H5409" i="6"/>
  <c r="I5409" i="6" s="1"/>
  <c r="H5408" i="6"/>
  <c r="I5408" i="6" s="1"/>
  <c r="H5404" i="6"/>
  <c r="I5404" i="6" s="1"/>
  <c r="H5402" i="6"/>
  <c r="I5402" i="6" s="1"/>
  <c r="H5397" i="6"/>
  <c r="H5395" i="6"/>
  <c r="H5393" i="6"/>
  <c r="I5393" i="6" s="1"/>
  <c r="I5394" i="6" s="1"/>
  <c r="H5391" i="6"/>
  <c r="I5391" i="6" s="1"/>
  <c r="H5390" i="6"/>
  <c r="I5390" i="6" s="1"/>
  <c r="H5385" i="6"/>
  <c r="I5385" i="6" s="1"/>
  <c r="H5384" i="6"/>
  <c r="I5384" i="6" s="1"/>
  <c r="H5379" i="6"/>
  <c r="H5377" i="6"/>
  <c r="H5375" i="6"/>
  <c r="I5375" i="6" s="1"/>
  <c r="I5376" i="6" s="1"/>
  <c r="H5373" i="6"/>
  <c r="I5373" i="6" s="1"/>
  <c r="H5372" i="6"/>
  <c r="I5372" i="6" s="1"/>
  <c r="H5368" i="6"/>
  <c r="I5368" i="6" s="1"/>
  <c r="H5367" i="6"/>
  <c r="I5367" i="6" s="1"/>
  <c r="H5366" i="6"/>
  <c r="I5366" i="6" s="1"/>
  <c r="H5361" i="6"/>
  <c r="H5359" i="6"/>
  <c r="H5357" i="6"/>
  <c r="I5357" i="6" s="1"/>
  <c r="I5358" i="6" s="1"/>
  <c r="H5355" i="6"/>
  <c r="I5355" i="6" s="1"/>
  <c r="H5354" i="6"/>
  <c r="I5354" i="6" s="1"/>
  <c r="H5350" i="6"/>
  <c r="I5350" i="6" s="1"/>
  <c r="H5349" i="6"/>
  <c r="I5349" i="6" s="1"/>
  <c r="H5348" i="6"/>
  <c r="I5348" i="6" s="1"/>
  <c r="H5343" i="6"/>
  <c r="H5341" i="6"/>
  <c r="H5339" i="6"/>
  <c r="I5339" i="6" s="1"/>
  <c r="I5340" i="6" s="1"/>
  <c r="H5337" i="6"/>
  <c r="I5337" i="6" s="1"/>
  <c r="H5336" i="6"/>
  <c r="I5336" i="6" s="1"/>
  <c r="H5332" i="6"/>
  <c r="I5332" i="6" s="1"/>
  <c r="H5330" i="6"/>
  <c r="I5330" i="6" s="1"/>
  <c r="H5325" i="6"/>
  <c r="H5323" i="6"/>
  <c r="H5321" i="6"/>
  <c r="I5321" i="6" s="1"/>
  <c r="I5322" i="6" s="1"/>
  <c r="H5319" i="6"/>
  <c r="I5319" i="6" s="1"/>
  <c r="H5318" i="6"/>
  <c r="I5318" i="6" s="1"/>
  <c r="H5313" i="6"/>
  <c r="I5313" i="6" s="1"/>
  <c r="H5312" i="6"/>
  <c r="I5312" i="6" s="1"/>
  <c r="H5307" i="6"/>
  <c r="H5305" i="6"/>
  <c r="H5303" i="6"/>
  <c r="I5303" i="6" s="1"/>
  <c r="I5304" i="6" s="1"/>
  <c r="H5301" i="6"/>
  <c r="I5301" i="6" s="1"/>
  <c r="H5300" i="6"/>
  <c r="I5300" i="6" s="1"/>
  <c r="H5296" i="6"/>
  <c r="I5296" i="6" s="1"/>
  <c r="H5295" i="6"/>
  <c r="I5295" i="6" s="1"/>
  <c r="H5294" i="6"/>
  <c r="I5294" i="6" s="1"/>
  <c r="H5289" i="6"/>
  <c r="H5287" i="6"/>
  <c r="H5285" i="6"/>
  <c r="I5285" i="6" s="1"/>
  <c r="I5286" i="6" s="1"/>
  <c r="H5283" i="6"/>
  <c r="I5283" i="6" s="1"/>
  <c r="H5282" i="6"/>
  <c r="I5282" i="6" s="1"/>
  <c r="H5278" i="6"/>
  <c r="I5278" i="6" s="1"/>
  <c r="H5277" i="6"/>
  <c r="I5277" i="6" s="1"/>
  <c r="H5276" i="6"/>
  <c r="I5276" i="6" s="1"/>
  <c r="H5271" i="6"/>
  <c r="H5269" i="6"/>
  <c r="H5267" i="6"/>
  <c r="I5267" i="6" s="1"/>
  <c r="I5268" i="6" s="1"/>
  <c r="H5265" i="6"/>
  <c r="I5265" i="6" s="1"/>
  <c r="H5264" i="6"/>
  <c r="I5264" i="6" s="1"/>
  <c r="H5260" i="6"/>
  <c r="I5260" i="6" s="1"/>
  <c r="H5258" i="6"/>
  <c r="I5258" i="6" s="1"/>
  <c r="H5253" i="6"/>
  <c r="H5251" i="6"/>
  <c r="H5249" i="6"/>
  <c r="I5249" i="6" s="1"/>
  <c r="I5250" i="6" s="1"/>
  <c r="H5247" i="6"/>
  <c r="I5247" i="6" s="1"/>
  <c r="H5246" i="6"/>
  <c r="I5246" i="6" s="1"/>
  <c r="H5245" i="6"/>
  <c r="I5245" i="6" s="1"/>
  <c r="H5241" i="6"/>
  <c r="I5241" i="6" s="1"/>
  <c r="H5240" i="6"/>
  <c r="I5240" i="6" s="1"/>
  <c r="H5239" i="6"/>
  <c r="I5239" i="6" s="1"/>
  <c r="H5234" i="6"/>
  <c r="H5232" i="6"/>
  <c r="H5230" i="6"/>
  <c r="I5230" i="6" s="1"/>
  <c r="I5231" i="6" s="1"/>
  <c r="H5228" i="6"/>
  <c r="I5228" i="6" s="1"/>
  <c r="H5227" i="6"/>
  <c r="I5227" i="6" s="1"/>
  <c r="H5226" i="6"/>
  <c r="I5226" i="6" s="1"/>
  <c r="H5222" i="6"/>
  <c r="I5222" i="6" s="1"/>
  <c r="H5220" i="6"/>
  <c r="I5220" i="6" s="1"/>
  <c r="H5215" i="6"/>
  <c r="H5213" i="6"/>
  <c r="H5211" i="6"/>
  <c r="I5211" i="6" s="1"/>
  <c r="I5212" i="6" s="1"/>
  <c r="H5209" i="6"/>
  <c r="I5209" i="6" s="1"/>
  <c r="H5208" i="6"/>
  <c r="I5208" i="6" s="1"/>
  <c r="H5207" i="6"/>
  <c r="I5207" i="6" s="1"/>
  <c r="H5203" i="6"/>
  <c r="I5203" i="6" s="1"/>
  <c r="H5202" i="6"/>
  <c r="I5202" i="6" s="1"/>
  <c r="H5201" i="6"/>
  <c r="I5201" i="6" s="1"/>
  <c r="H5196" i="6"/>
  <c r="H5194" i="6"/>
  <c r="H5192" i="6"/>
  <c r="I5192" i="6" s="1"/>
  <c r="I5193" i="6" s="1"/>
  <c r="H5190" i="6"/>
  <c r="I5190" i="6" s="1"/>
  <c r="I5191" i="6" s="1"/>
  <c r="H5186" i="6"/>
  <c r="I5186" i="6" s="1"/>
  <c r="H5185" i="6"/>
  <c r="I5185" i="6" s="1"/>
  <c r="H5184" i="6"/>
  <c r="I5184" i="6" s="1"/>
  <c r="H5179" i="6"/>
  <c r="H5177" i="6"/>
  <c r="H5175" i="6"/>
  <c r="I5175" i="6" s="1"/>
  <c r="I5176" i="6" s="1"/>
  <c r="H5173" i="6"/>
  <c r="I5173" i="6" s="1"/>
  <c r="I5174" i="6" s="1"/>
  <c r="H5169" i="6"/>
  <c r="I5169" i="6" s="1"/>
  <c r="H5168" i="6"/>
  <c r="I5168" i="6" s="1"/>
  <c r="H5167" i="6"/>
  <c r="I5167" i="6" s="1"/>
  <c r="H5162" i="6"/>
  <c r="H5160" i="6"/>
  <c r="H5158" i="6"/>
  <c r="I5158" i="6" s="1"/>
  <c r="I5159" i="6" s="1"/>
  <c r="H5156" i="6"/>
  <c r="I5156" i="6" s="1"/>
  <c r="I5157" i="6" s="1"/>
  <c r="H5152" i="6"/>
  <c r="I5152" i="6" s="1"/>
  <c r="H5151" i="6"/>
  <c r="I5151" i="6" s="1"/>
  <c r="H5150" i="6"/>
  <c r="I5150" i="6" s="1"/>
  <c r="H5144" i="6"/>
  <c r="H5142" i="6"/>
  <c r="H5140" i="6"/>
  <c r="I5140" i="6" s="1"/>
  <c r="I5141" i="6" s="1"/>
  <c r="H5138" i="6"/>
  <c r="I5138" i="6" s="1"/>
  <c r="H5137" i="6"/>
  <c r="I5137" i="6" s="1"/>
  <c r="H5133" i="6"/>
  <c r="I5133" i="6" s="1"/>
  <c r="H5132" i="6"/>
  <c r="I5132" i="6" s="1"/>
  <c r="H5131" i="6"/>
  <c r="I5131" i="6" s="1"/>
  <c r="H5085" i="6"/>
  <c r="H5083" i="6"/>
  <c r="H5081" i="6"/>
  <c r="I5081" i="6" s="1"/>
  <c r="I5082" i="6" s="1"/>
  <c r="H5079" i="6"/>
  <c r="I5079" i="6" s="1"/>
  <c r="H5078" i="6"/>
  <c r="I5078" i="6" s="1"/>
  <c r="H5074" i="6"/>
  <c r="I5074" i="6" s="1"/>
  <c r="H5072" i="6"/>
  <c r="I5072" i="6" s="1"/>
  <c r="H5067" i="6"/>
  <c r="H5065" i="6"/>
  <c r="H5063" i="6"/>
  <c r="I5063" i="6" s="1"/>
  <c r="I5064" i="6" s="1"/>
  <c r="H5061" i="6"/>
  <c r="I5061" i="6" s="1"/>
  <c r="H5060" i="6"/>
  <c r="I5060" i="6" s="1"/>
  <c r="H5059" i="6"/>
  <c r="I5059" i="6" s="1"/>
  <c r="H5058" i="6"/>
  <c r="I5058" i="6" s="1"/>
  <c r="H5054" i="6"/>
  <c r="I5054" i="6" s="1"/>
  <c r="H5053" i="6"/>
  <c r="I5053" i="6" s="1"/>
  <c r="H5052" i="6"/>
  <c r="I5052" i="6" s="1"/>
  <c r="H5029" i="6"/>
  <c r="H5027" i="6"/>
  <c r="H5025" i="6"/>
  <c r="I5025" i="6" s="1"/>
  <c r="I5026" i="6" s="1"/>
  <c r="H5023" i="6"/>
  <c r="I5023" i="6" s="1"/>
  <c r="H5022" i="6"/>
  <c r="I5022" i="6" s="1"/>
  <c r="H5018" i="6"/>
  <c r="I5018" i="6" s="1"/>
  <c r="H5016" i="6"/>
  <c r="I5016" i="6" s="1"/>
  <c r="H5011" i="6"/>
  <c r="H5009" i="6"/>
  <c r="H5007" i="6"/>
  <c r="I5007" i="6" s="1"/>
  <c r="I5008" i="6" s="1"/>
  <c r="H5005" i="6"/>
  <c r="I5005" i="6" s="1"/>
  <c r="H5004" i="6"/>
  <c r="I5004" i="6" s="1"/>
  <c r="H4999" i="6"/>
  <c r="I4999" i="6" s="1"/>
  <c r="H4998" i="6"/>
  <c r="I4998" i="6" s="1"/>
  <c r="H4993" i="6"/>
  <c r="H4991" i="6"/>
  <c r="H4989" i="6"/>
  <c r="I4989" i="6" s="1"/>
  <c r="I4990" i="6" s="1"/>
  <c r="H4987" i="6"/>
  <c r="I4987" i="6" s="1"/>
  <c r="H4986" i="6"/>
  <c r="I4986" i="6" s="1"/>
  <c r="H4982" i="6"/>
  <c r="I4982" i="6" s="1"/>
  <c r="H4981" i="6"/>
  <c r="I4981" i="6" s="1"/>
  <c r="H4980" i="6"/>
  <c r="I4980" i="6" s="1"/>
  <c r="H4975" i="6"/>
  <c r="H4973" i="6"/>
  <c r="H4971" i="6"/>
  <c r="I4971" i="6" s="1"/>
  <c r="I4972" i="6" s="1"/>
  <c r="H4969" i="6"/>
  <c r="I4969" i="6" s="1"/>
  <c r="H4968" i="6"/>
  <c r="I4968" i="6" s="1"/>
  <c r="H4964" i="6"/>
  <c r="I4964" i="6" s="1"/>
  <c r="H4963" i="6"/>
  <c r="I4963" i="6" s="1"/>
  <c r="H4962" i="6"/>
  <c r="I4962" i="6" s="1"/>
  <c r="H4957" i="6"/>
  <c r="H4955" i="6"/>
  <c r="H4953" i="6"/>
  <c r="I4953" i="6" s="1"/>
  <c r="I4954" i="6" s="1"/>
  <c r="H4951" i="6"/>
  <c r="I4951" i="6" s="1"/>
  <c r="H4950" i="6"/>
  <c r="I4950" i="6" s="1"/>
  <c r="H4946" i="6"/>
  <c r="I4946" i="6" s="1"/>
  <c r="H4944" i="6"/>
  <c r="I4944" i="6" s="1"/>
  <c r="H4939" i="6"/>
  <c r="H4937" i="6"/>
  <c r="H4935" i="6"/>
  <c r="I4935" i="6" s="1"/>
  <c r="I4936" i="6" s="1"/>
  <c r="H4933" i="6"/>
  <c r="I4933" i="6" s="1"/>
  <c r="H4932" i="6"/>
  <c r="I4932" i="6" s="1"/>
  <c r="H4927" i="6"/>
  <c r="I4927" i="6" s="1"/>
  <c r="H4926" i="6"/>
  <c r="I4926" i="6" s="1"/>
  <c r="H4921" i="6"/>
  <c r="H4919" i="6"/>
  <c r="H4917" i="6"/>
  <c r="I4917" i="6" s="1"/>
  <c r="I4918" i="6" s="1"/>
  <c r="H4915" i="6"/>
  <c r="I4915" i="6" s="1"/>
  <c r="H4914" i="6"/>
  <c r="I4914" i="6" s="1"/>
  <c r="H4910" i="6"/>
  <c r="I4910" i="6" s="1"/>
  <c r="H4909" i="6"/>
  <c r="I4909" i="6" s="1"/>
  <c r="H4908" i="6"/>
  <c r="I4908" i="6" s="1"/>
  <c r="H4902" i="6"/>
  <c r="H4900" i="6"/>
  <c r="H4898" i="6"/>
  <c r="I4898" i="6" s="1"/>
  <c r="I4899" i="6" s="1"/>
  <c r="H4896" i="6"/>
  <c r="I4896" i="6" s="1"/>
  <c r="H4895" i="6"/>
  <c r="I4895" i="6" s="1"/>
  <c r="H4891" i="6"/>
  <c r="I4891" i="6" s="1"/>
  <c r="H4889" i="6"/>
  <c r="I4889" i="6" s="1"/>
  <c r="H4884" i="6"/>
  <c r="H4882" i="6"/>
  <c r="H4879" i="6"/>
  <c r="H4877" i="6"/>
  <c r="I4877" i="6" s="1"/>
  <c r="H4876" i="6"/>
  <c r="I4876" i="6" s="1"/>
  <c r="H4872" i="6"/>
  <c r="I4872" i="6" s="1"/>
  <c r="H4870" i="6"/>
  <c r="I4870" i="6" s="1"/>
  <c r="H4865" i="6"/>
  <c r="H4863" i="6"/>
  <c r="H4860" i="6"/>
  <c r="H4858" i="6"/>
  <c r="I4858" i="6" s="1"/>
  <c r="H4857" i="6"/>
  <c r="I4857" i="6" s="1"/>
  <c r="H4852" i="6"/>
  <c r="I4852" i="6" s="1"/>
  <c r="H4851" i="6"/>
  <c r="I4851" i="6" s="1"/>
  <c r="H4846" i="6"/>
  <c r="H4844" i="6"/>
  <c r="H4841" i="6"/>
  <c r="H4839" i="6"/>
  <c r="I4839" i="6" s="1"/>
  <c r="H4838" i="6"/>
  <c r="I4838" i="6" s="1"/>
  <c r="H4834" i="6"/>
  <c r="I4834" i="6" s="1"/>
  <c r="H4833" i="6"/>
  <c r="I4833" i="6" s="1"/>
  <c r="H4832" i="6"/>
  <c r="I4832" i="6" s="1"/>
  <c r="H4827" i="6"/>
  <c r="H4825" i="6"/>
  <c r="H4822" i="6"/>
  <c r="H4820" i="6"/>
  <c r="I4820" i="6" s="1"/>
  <c r="H4819" i="6"/>
  <c r="I4819" i="6" s="1"/>
  <c r="H4816" i="6"/>
  <c r="I4816" i="6" s="1"/>
  <c r="H4815" i="6"/>
  <c r="I4815" i="6" s="1"/>
  <c r="H4814" i="6"/>
  <c r="I4814" i="6" s="1"/>
  <c r="H4813" i="6"/>
  <c r="I4813" i="6" s="1"/>
  <c r="H4808" i="6"/>
  <c r="H4806" i="6"/>
  <c r="H4804" i="6"/>
  <c r="I4804" i="6" s="1"/>
  <c r="I4805" i="6" s="1"/>
  <c r="H4802" i="6"/>
  <c r="I4802" i="6" s="1"/>
  <c r="H4801" i="6"/>
  <c r="I4801" i="6" s="1"/>
  <c r="H4797" i="6"/>
  <c r="I4797" i="6" s="1"/>
  <c r="H4795" i="6"/>
  <c r="I4795" i="6" s="1"/>
  <c r="H4790" i="6"/>
  <c r="H4788" i="6"/>
  <c r="H4786" i="6"/>
  <c r="I4786" i="6" s="1"/>
  <c r="I4787" i="6" s="1"/>
  <c r="H4784" i="6"/>
  <c r="I4784" i="6" s="1"/>
  <c r="H4783" i="6"/>
  <c r="I4783" i="6" s="1"/>
  <c r="H4779" i="6"/>
  <c r="I4779" i="6" s="1"/>
  <c r="H4777" i="6"/>
  <c r="I4777" i="6" s="1"/>
  <c r="H4772" i="6"/>
  <c r="H4770" i="6"/>
  <c r="H4768" i="6"/>
  <c r="I4768" i="6" s="1"/>
  <c r="I4769" i="6" s="1"/>
  <c r="H4766" i="6"/>
  <c r="I4766" i="6" s="1"/>
  <c r="I4767" i="6" s="1"/>
  <c r="H4762" i="6"/>
  <c r="I4762" i="6" s="1"/>
  <c r="H4760" i="6"/>
  <c r="I4760" i="6" s="1"/>
  <c r="H4755" i="6"/>
  <c r="H4753" i="6"/>
  <c r="H4751" i="6"/>
  <c r="I4751" i="6" s="1"/>
  <c r="I4752" i="6" s="1"/>
  <c r="H4749" i="6"/>
  <c r="I4749" i="6" s="1"/>
  <c r="H4748" i="6"/>
  <c r="I4748" i="6" s="1"/>
  <c r="H4744" i="6"/>
  <c r="I4744" i="6" s="1"/>
  <c r="H4742" i="6"/>
  <c r="I4742" i="6" s="1"/>
  <c r="H4737" i="6"/>
  <c r="H4735" i="6"/>
  <c r="H4733" i="6"/>
  <c r="I4733" i="6" s="1"/>
  <c r="I4734" i="6" s="1"/>
  <c r="H4731" i="6"/>
  <c r="I4731" i="6" s="1"/>
  <c r="H4730" i="6"/>
  <c r="I4730" i="6" s="1"/>
  <c r="H4726" i="6"/>
  <c r="I4726" i="6" s="1"/>
  <c r="H4724" i="6"/>
  <c r="I4724" i="6" s="1"/>
  <c r="H4719" i="6"/>
  <c r="H4717" i="6"/>
  <c r="H4715" i="6"/>
  <c r="I4715" i="6" s="1"/>
  <c r="I4716" i="6" s="1"/>
  <c r="H4713" i="6"/>
  <c r="I4713" i="6" s="1"/>
  <c r="H4712" i="6"/>
  <c r="I4712" i="6" s="1"/>
  <c r="H4711" i="6"/>
  <c r="I4711" i="6" s="1"/>
  <c r="H4707" i="6"/>
  <c r="I4707" i="6" s="1"/>
  <c r="H4705" i="6"/>
  <c r="I4705" i="6" s="1"/>
  <c r="H4700" i="6"/>
  <c r="H4698" i="6"/>
  <c r="H4696" i="6"/>
  <c r="I4696" i="6" s="1"/>
  <c r="I4697" i="6" s="1"/>
  <c r="H4694" i="6"/>
  <c r="I4694" i="6" s="1"/>
  <c r="H4693" i="6"/>
  <c r="I4693" i="6" s="1"/>
  <c r="H4692" i="6"/>
  <c r="I4692" i="6" s="1"/>
  <c r="H4687" i="6"/>
  <c r="I4687" i="6" s="1"/>
  <c r="H4686" i="6"/>
  <c r="I4686" i="6" s="1"/>
  <c r="H4681" i="6"/>
  <c r="H4679" i="6"/>
  <c r="H4677" i="6"/>
  <c r="I4677" i="6" s="1"/>
  <c r="I4678" i="6" s="1"/>
  <c r="H4675" i="6"/>
  <c r="I4675" i="6" s="1"/>
  <c r="H4674" i="6"/>
  <c r="I4674" i="6" s="1"/>
  <c r="H4673" i="6"/>
  <c r="I4673" i="6" s="1"/>
  <c r="H4672" i="6"/>
  <c r="I4672" i="6" s="1"/>
  <c r="H4668" i="6"/>
  <c r="I4668" i="6" s="1"/>
  <c r="H4666" i="6"/>
  <c r="I4666" i="6" s="1"/>
  <c r="H4661" i="6"/>
  <c r="H4659" i="6"/>
  <c r="H4657" i="6"/>
  <c r="I4657" i="6" s="1"/>
  <c r="I4658" i="6" s="1"/>
  <c r="H4655" i="6"/>
  <c r="I4655" i="6" s="1"/>
  <c r="H4654" i="6"/>
  <c r="I4654" i="6" s="1"/>
  <c r="H4653" i="6"/>
  <c r="I4653" i="6" s="1"/>
  <c r="H4652" i="6"/>
  <c r="I4652" i="6" s="1"/>
  <c r="H4651" i="6"/>
  <c r="I4651" i="6" s="1"/>
  <c r="H4647" i="6"/>
  <c r="I4647" i="6" s="1"/>
  <c r="H4645" i="6"/>
  <c r="I4645" i="6" s="1"/>
  <c r="H4640" i="6"/>
  <c r="H4638" i="6"/>
  <c r="H4636" i="6"/>
  <c r="I4636" i="6" s="1"/>
  <c r="I4637" i="6" s="1"/>
  <c r="H4634" i="6"/>
  <c r="I4634" i="6" s="1"/>
  <c r="H4633" i="6"/>
  <c r="I4633" i="6" s="1"/>
  <c r="H4632" i="6"/>
  <c r="I4632" i="6" s="1"/>
  <c r="H4631" i="6"/>
  <c r="I4631" i="6" s="1"/>
  <c r="H4625" i="6"/>
  <c r="I4625" i="6" s="1"/>
  <c r="H4620" i="6"/>
  <c r="H4618" i="6"/>
  <c r="H4616" i="6"/>
  <c r="I4616" i="6" s="1"/>
  <c r="I4617" i="6" s="1"/>
  <c r="H4614" i="6"/>
  <c r="I4614" i="6" s="1"/>
  <c r="H4613" i="6"/>
  <c r="I4613" i="6" s="1"/>
  <c r="H4612" i="6"/>
  <c r="I4612" i="6" s="1"/>
  <c r="H4611" i="6"/>
  <c r="I4611" i="6" s="1"/>
  <c r="H4607" i="6"/>
  <c r="I4607" i="6" s="1"/>
  <c r="H4605" i="6"/>
  <c r="I4605" i="6" s="1"/>
  <c r="H4600" i="6"/>
  <c r="H4598" i="6"/>
  <c r="H4596" i="6"/>
  <c r="I4596" i="6" s="1"/>
  <c r="I4597" i="6" s="1"/>
  <c r="H4594" i="6"/>
  <c r="I4594" i="6" s="1"/>
  <c r="H4593" i="6"/>
  <c r="I4593" i="6" s="1"/>
  <c r="H4592" i="6"/>
  <c r="I4592" i="6" s="1"/>
  <c r="H4591" i="6"/>
  <c r="I4591" i="6" s="1"/>
  <c r="H4585" i="6"/>
  <c r="I4585" i="6" s="1"/>
  <c r="H4580" i="6"/>
  <c r="H4578" i="6"/>
  <c r="H4576" i="6"/>
  <c r="I4576" i="6" s="1"/>
  <c r="I4577" i="6" s="1"/>
  <c r="H4574" i="6"/>
  <c r="I4574" i="6" s="1"/>
  <c r="H4573" i="6"/>
  <c r="I4573" i="6" s="1"/>
  <c r="H4572" i="6"/>
  <c r="I4572" i="6" s="1"/>
  <c r="H4571" i="6"/>
  <c r="I4571" i="6" s="1"/>
  <c r="H4567" i="6"/>
  <c r="I4567" i="6" s="1"/>
  <c r="H4565" i="6"/>
  <c r="I4565" i="6" s="1"/>
  <c r="H4560" i="6"/>
  <c r="H4558" i="6"/>
  <c r="H4556" i="6"/>
  <c r="I4556" i="6" s="1"/>
  <c r="I4557" i="6" s="1"/>
  <c r="H4554" i="6"/>
  <c r="I4554" i="6" s="1"/>
  <c r="H4553" i="6"/>
  <c r="I4553" i="6" s="1"/>
  <c r="H4552" i="6"/>
  <c r="I4552" i="6" s="1"/>
  <c r="H4551" i="6"/>
  <c r="I4551" i="6" s="1"/>
  <c r="H4545" i="6"/>
  <c r="I4545" i="6" s="1"/>
  <c r="H4540" i="6"/>
  <c r="H4538" i="6"/>
  <c r="H4536" i="6"/>
  <c r="I4536" i="6" s="1"/>
  <c r="I4537" i="6" s="1"/>
  <c r="H4534" i="6"/>
  <c r="I4534" i="6" s="1"/>
  <c r="H4533" i="6"/>
  <c r="I4533" i="6" s="1"/>
  <c r="H4532" i="6"/>
  <c r="I4532" i="6" s="1"/>
  <c r="H4531" i="6"/>
  <c r="I4531" i="6" s="1"/>
  <c r="H4527" i="6"/>
  <c r="I4527" i="6" s="1"/>
  <c r="H4526" i="6"/>
  <c r="I4526" i="6" s="1"/>
  <c r="H4525" i="6"/>
  <c r="I4525" i="6" s="1"/>
  <c r="H4520" i="6"/>
  <c r="H4518" i="6"/>
  <c r="H4516" i="6"/>
  <c r="I4516" i="6" s="1"/>
  <c r="I4517" i="6" s="1"/>
  <c r="H4514" i="6"/>
  <c r="I4514" i="6" s="1"/>
  <c r="H4513" i="6"/>
  <c r="I4513" i="6" s="1"/>
  <c r="H4512" i="6"/>
  <c r="I4512" i="6" s="1"/>
  <c r="H4511" i="6"/>
  <c r="I4511" i="6" s="1"/>
  <c r="H4507" i="6"/>
  <c r="I4507" i="6" s="1"/>
  <c r="H4505" i="6"/>
  <c r="I4505" i="6" s="1"/>
  <c r="H4500" i="6"/>
  <c r="H4498" i="6"/>
  <c r="H4496" i="6"/>
  <c r="I4496" i="6" s="1"/>
  <c r="I4497" i="6" s="1"/>
  <c r="H4494" i="6"/>
  <c r="I4494" i="6" s="1"/>
  <c r="H4493" i="6"/>
  <c r="I4493" i="6" s="1"/>
  <c r="H4489" i="6"/>
  <c r="I4489" i="6" s="1"/>
  <c r="H4488" i="6"/>
  <c r="I4488" i="6" s="1"/>
  <c r="H4487" i="6"/>
  <c r="I4487" i="6" s="1"/>
  <c r="H4482" i="6"/>
  <c r="H4480" i="6"/>
  <c r="H4478" i="6"/>
  <c r="I4478" i="6" s="1"/>
  <c r="I4479" i="6" s="1"/>
  <c r="H4476" i="6"/>
  <c r="I4476" i="6" s="1"/>
  <c r="H4475" i="6"/>
  <c r="I4475" i="6" s="1"/>
  <c r="H4471" i="6"/>
  <c r="I4471" i="6" s="1"/>
  <c r="H4470" i="6"/>
  <c r="I4470" i="6" s="1"/>
  <c r="H4469" i="6"/>
  <c r="I4469" i="6" s="1"/>
  <c r="H4464" i="6"/>
  <c r="H4462" i="6"/>
  <c r="H4460" i="6"/>
  <c r="I4460" i="6" s="1"/>
  <c r="I4461" i="6" s="1"/>
  <c r="H4458" i="6"/>
  <c r="I4458" i="6" s="1"/>
  <c r="H4457" i="6"/>
  <c r="I4457" i="6" s="1"/>
  <c r="H4453" i="6"/>
  <c r="I4453" i="6" s="1"/>
  <c r="H4451" i="6"/>
  <c r="I4451" i="6" s="1"/>
  <c r="H4446" i="6"/>
  <c r="H4444" i="6"/>
  <c r="H4442" i="6"/>
  <c r="I4442" i="6" s="1"/>
  <c r="I4443" i="6" s="1"/>
  <c r="H4440" i="6"/>
  <c r="I4440" i="6" s="1"/>
  <c r="H4439" i="6"/>
  <c r="I4439" i="6" s="1"/>
  <c r="H4434" i="6"/>
  <c r="I4434" i="6" s="1"/>
  <c r="H4433" i="6"/>
  <c r="I4433" i="6" s="1"/>
  <c r="H4428" i="6"/>
  <c r="H4426" i="6"/>
  <c r="H4424" i="6"/>
  <c r="I4424" i="6" s="1"/>
  <c r="I4425" i="6" s="1"/>
  <c r="H4422" i="6"/>
  <c r="I4422" i="6" s="1"/>
  <c r="H4421" i="6"/>
  <c r="I4421" i="6" s="1"/>
  <c r="H4420" i="6"/>
  <c r="I4420" i="6" s="1"/>
  <c r="H4419" i="6"/>
  <c r="I4419" i="6" s="1"/>
  <c r="H4415" i="6"/>
  <c r="I4415" i="6" s="1"/>
  <c r="H4413" i="6"/>
  <c r="I4413" i="6" s="1"/>
  <c r="H4408" i="6"/>
  <c r="H4406" i="6"/>
  <c r="H4404" i="6"/>
  <c r="I4404" i="6" s="1"/>
  <c r="I4405" i="6" s="1"/>
  <c r="H4402" i="6"/>
  <c r="I4402" i="6" s="1"/>
  <c r="H4401" i="6"/>
  <c r="I4401" i="6" s="1"/>
  <c r="H4400" i="6"/>
  <c r="I4400" i="6" s="1"/>
  <c r="H4399" i="6"/>
  <c r="I4399" i="6" s="1"/>
  <c r="H4395" i="6"/>
  <c r="I4395" i="6" s="1"/>
  <c r="H4393" i="6"/>
  <c r="I4393" i="6" s="1"/>
  <c r="H4388" i="6"/>
  <c r="H4386" i="6"/>
  <c r="H4384" i="6"/>
  <c r="I4384" i="6" s="1"/>
  <c r="I4385" i="6" s="1"/>
  <c r="H4382" i="6"/>
  <c r="I4382" i="6" s="1"/>
  <c r="H4381" i="6"/>
  <c r="I4381" i="6" s="1"/>
  <c r="H4380" i="6"/>
  <c r="I4380" i="6" s="1"/>
  <c r="H4379" i="6"/>
  <c r="I4379" i="6" s="1"/>
  <c r="H4375" i="6"/>
  <c r="I4375" i="6" s="1"/>
  <c r="H4373" i="6"/>
  <c r="I4373" i="6" s="1"/>
  <c r="H4368" i="6"/>
  <c r="H4366" i="6"/>
  <c r="H4364" i="6"/>
  <c r="I4364" i="6" s="1"/>
  <c r="I4365" i="6" s="1"/>
  <c r="H4362" i="6"/>
  <c r="I4362" i="6" s="1"/>
  <c r="H4361" i="6"/>
  <c r="I4361" i="6" s="1"/>
  <c r="H4360" i="6"/>
  <c r="I4360" i="6" s="1"/>
  <c r="H4359" i="6"/>
  <c r="I4359" i="6" s="1"/>
  <c r="H4355" i="6"/>
  <c r="I4355" i="6" s="1"/>
  <c r="H4353" i="6"/>
  <c r="I4353" i="6" s="1"/>
  <c r="H4348" i="6"/>
  <c r="H4346" i="6"/>
  <c r="H4344" i="6"/>
  <c r="I4344" i="6" s="1"/>
  <c r="I4345" i="6" s="1"/>
  <c r="H4342" i="6"/>
  <c r="I4342" i="6" s="1"/>
  <c r="H4341" i="6"/>
  <c r="I4341" i="6" s="1"/>
  <c r="H4340" i="6"/>
  <c r="I4340" i="6" s="1"/>
  <c r="H4339" i="6"/>
  <c r="I4339" i="6" s="1"/>
  <c r="H4335" i="6"/>
  <c r="I4335" i="6" s="1"/>
  <c r="H4333" i="6"/>
  <c r="I4333" i="6" s="1"/>
  <c r="H4328" i="6"/>
  <c r="H4326" i="6"/>
  <c r="H4324" i="6"/>
  <c r="I4324" i="6" s="1"/>
  <c r="I4325" i="6" s="1"/>
  <c r="H4322" i="6"/>
  <c r="I4322" i="6" s="1"/>
  <c r="H4321" i="6"/>
  <c r="I4321" i="6" s="1"/>
  <c r="H4320" i="6"/>
  <c r="I4320" i="6" s="1"/>
  <c r="H4319" i="6"/>
  <c r="I4319" i="6" s="1"/>
  <c r="H4315" i="6"/>
  <c r="I4315" i="6" s="1"/>
  <c r="H4313" i="6"/>
  <c r="I4313" i="6" s="1"/>
  <c r="H4308" i="6"/>
  <c r="H4306" i="6"/>
  <c r="H4304" i="6"/>
  <c r="I4304" i="6" s="1"/>
  <c r="I4305" i="6" s="1"/>
  <c r="H4302" i="6"/>
  <c r="I4302" i="6" s="1"/>
  <c r="H4301" i="6"/>
  <c r="I4301" i="6" s="1"/>
  <c r="H4300" i="6"/>
  <c r="I4300" i="6" s="1"/>
  <c r="H4299" i="6"/>
  <c r="I4299" i="6" s="1"/>
  <c r="H4295" i="6"/>
  <c r="I4295" i="6" s="1"/>
  <c r="H4293" i="6"/>
  <c r="I4293" i="6" s="1"/>
  <c r="H4288" i="6"/>
  <c r="H4286" i="6"/>
  <c r="H4284" i="6"/>
  <c r="I4284" i="6" s="1"/>
  <c r="I4285" i="6" s="1"/>
  <c r="H4282" i="6"/>
  <c r="I4282" i="6" s="1"/>
  <c r="H4281" i="6"/>
  <c r="I4281" i="6" s="1"/>
  <c r="H4280" i="6"/>
  <c r="I4280" i="6" s="1"/>
  <c r="H4279" i="6"/>
  <c r="I4279" i="6" s="1"/>
  <c r="H4275" i="6"/>
  <c r="I4275" i="6" s="1"/>
  <c r="H4273" i="6"/>
  <c r="I4273" i="6" s="1"/>
  <c r="H4268" i="6"/>
  <c r="H4266" i="6"/>
  <c r="H4264" i="6"/>
  <c r="I4264" i="6" s="1"/>
  <c r="I4265" i="6" s="1"/>
  <c r="H4262" i="6"/>
  <c r="I4262" i="6" s="1"/>
  <c r="H4261" i="6"/>
  <c r="I4261" i="6" s="1"/>
  <c r="H4260" i="6"/>
  <c r="I4260" i="6" s="1"/>
  <c r="H4259" i="6"/>
  <c r="I4259" i="6" s="1"/>
  <c r="H4253" i="6"/>
  <c r="I4253" i="6" s="1"/>
  <c r="H4248" i="6"/>
  <c r="H4246" i="6"/>
  <c r="H4244" i="6"/>
  <c r="I4244" i="6" s="1"/>
  <c r="I4245" i="6" s="1"/>
  <c r="H4242" i="6"/>
  <c r="I4242" i="6" s="1"/>
  <c r="H4241" i="6"/>
  <c r="I4241" i="6" s="1"/>
  <c r="H4240" i="6"/>
  <c r="I4240" i="6" s="1"/>
  <c r="H4239" i="6"/>
  <c r="I4239" i="6" s="1"/>
  <c r="H4235" i="6"/>
  <c r="I4235" i="6" s="1"/>
  <c r="H4233" i="6"/>
  <c r="I4233" i="6" s="1"/>
  <c r="H4228" i="6"/>
  <c r="H4226" i="6"/>
  <c r="H4224" i="6"/>
  <c r="I4224" i="6" s="1"/>
  <c r="I4225" i="6" s="1"/>
  <c r="H4222" i="6"/>
  <c r="I4222" i="6" s="1"/>
  <c r="H4221" i="6"/>
  <c r="I4221" i="6" s="1"/>
  <c r="H4220" i="6"/>
  <c r="I4220" i="6" s="1"/>
  <c r="H4219" i="6"/>
  <c r="I4219" i="6" s="1"/>
  <c r="H4213" i="6"/>
  <c r="I4213" i="6" s="1"/>
  <c r="H4208" i="6"/>
  <c r="H4206" i="6"/>
  <c r="H4204" i="6"/>
  <c r="I4204" i="6" s="1"/>
  <c r="I4205" i="6" s="1"/>
  <c r="H4202" i="6"/>
  <c r="I4202" i="6" s="1"/>
  <c r="H4201" i="6"/>
  <c r="I4201" i="6" s="1"/>
  <c r="H4200" i="6"/>
  <c r="I4200" i="6" s="1"/>
  <c r="H4199" i="6"/>
  <c r="I4199" i="6" s="1"/>
  <c r="H4195" i="6"/>
  <c r="I4195" i="6" s="1"/>
  <c r="H4193" i="6"/>
  <c r="I4193" i="6" s="1"/>
  <c r="H4188" i="6"/>
  <c r="H4186" i="6"/>
  <c r="H4184" i="6"/>
  <c r="I4184" i="6" s="1"/>
  <c r="I4185" i="6" s="1"/>
  <c r="H4182" i="6"/>
  <c r="I4182" i="6" s="1"/>
  <c r="H4181" i="6"/>
  <c r="I4181" i="6" s="1"/>
  <c r="H4177" i="6"/>
  <c r="I4177" i="6" s="1"/>
  <c r="H4175" i="6"/>
  <c r="I4175" i="6" s="1"/>
  <c r="H4170" i="6"/>
  <c r="H4168" i="6"/>
  <c r="H4166" i="6"/>
  <c r="I4166" i="6" s="1"/>
  <c r="I4167" i="6" s="1"/>
  <c r="H4164" i="6"/>
  <c r="I4164" i="6" s="1"/>
  <c r="H4163" i="6"/>
  <c r="I4163" i="6" s="1"/>
  <c r="H4162" i="6"/>
  <c r="I4162" i="6" s="1"/>
  <c r="H4161" i="6"/>
  <c r="I4161" i="6" s="1"/>
  <c r="H4155" i="6"/>
  <c r="I4155" i="6" s="1"/>
  <c r="H4150" i="6"/>
  <c r="H4148" i="6"/>
  <c r="H4146" i="6"/>
  <c r="I4146" i="6" s="1"/>
  <c r="I4147" i="6" s="1"/>
  <c r="H4144" i="6"/>
  <c r="I4144" i="6" s="1"/>
  <c r="H4143" i="6"/>
  <c r="I4143" i="6" s="1"/>
  <c r="H4142" i="6"/>
  <c r="I4142" i="6" s="1"/>
  <c r="H4141" i="6"/>
  <c r="I4141" i="6" s="1"/>
  <c r="H4137" i="6"/>
  <c r="I4137" i="6" s="1"/>
  <c r="H4135" i="6"/>
  <c r="I4135" i="6" s="1"/>
  <c r="H4130" i="6"/>
  <c r="H4128" i="6"/>
  <c r="H4126" i="6"/>
  <c r="I4126" i="6" s="1"/>
  <c r="I4127" i="6" s="1"/>
  <c r="H4124" i="6"/>
  <c r="I4124" i="6" s="1"/>
  <c r="H4123" i="6"/>
  <c r="I4123" i="6" s="1"/>
  <c r="H4122" i="6"/>
  <c r="I4122" i="6" s="1"/>
  <c r="H4121" i="6"/>
  <c r="I4121" i="6" s="1"/>
  <c r="H4118" i="6"/>
  <c r="I4118" i="6" s="1"/>
  <c r="H4115" i="6"/>
  <c r="I4115" i="6" s="1"/>
  <c r="H4110" i="6"/>
  <c r="H4108" i="6"/>
  <c r="H4106" i="6"/>
  <c r="I4106" i="6" s="1"/>
  <c r="I4107" i="6" s="1"/>
  <c r="H4104" i="6"/>
  <c r="I4104" i="6" s="1"/>
  <c r="H4103" i="6"/>
  <c r="I4103" i="6" s="1"/>
  <c r="H4102" i="6"/>
  <c r="I4102" i="6" s="1"/>
  <c r="H4101" i="6"/>
  <c r="I4101" i="6" s="1"/>
  <c r="H4097" i="6"/>
  <c r="I4097" i="6" s="1"/>
  <c r="H4096" i="6"/>
  <c r="I4096" i="6" s="1"/>
  <c r="H4095" i="6"/>
  <c r="I4095" i="6" s="1"/>
  <c r="H4090" i="6"/>
  <c r="H4088" i="6"/>
  <c r="H4086" i="6"/>
  <c r="I4086" i="6" s="1"/>
  <c r="I4087" i="6" s="1"/>
  <c r="H4084" i="6"/>
  <c r="I4084" i="6" s="1"/>
  <c r="H4083" i="6"/>
  <c r="I4083" i="6" s="1"/>
  <c r="H4082" i="6"/>
  <c r="I4082" i="6" s="1"/>
  <c r="H4081" i="6"/>
  <c r="I4081" i="6" s="1"/>
  <c r="H4077" i="6"/>
  <c r="I4077" i="6" s="1"/>
  <c r="H4075" i="6"/>
  <c r="I4075" i="6" s="1"/>
  <c r="H4070" i="6"/>
  <c r="H4068" i="6"/>
  <c r="H4066" i="6"/>
  <c r="I4066" i="6" s="1"/>
  <c r="I4067" i="6" s="1"/>
  <c r="H4064" i="6"/>
  <c r="I4064" i="6" s="1"/>
  <c r="H4063" i="6"/>
  <c r="I4063" i="6" s="1"/>
  <c r="H4062" i="6"/>
  <c r="I4062" i="6" s="1"/>
  <c r="H4061" i="6"/>
  <c r="I4061" i="6" s="1"/>
  <c r="H4057" i="6"/>
  <c r="I4057" i="6" s="1"/>
  <c r="H4055" i="6"/>
  <c r="I4055" i="6" s="1"/>
  <c r="H4050" i="6"/>
  <c r="H4048" i="6"/>
  <c r="H4046" i="6"/>
  <c r="I4046" i="6" s="1"/>
  <c r="I4047" i="6" s="1"/>
  <c r="H4044" i="6"/>
  <c r="I4044" i="6" s="1"/>
  <c r="H4043" i="6"/>
  <c r="I4043" i="6" s="1"/>
  <c r="H4042" i="6"/>
  <c r="I4042" i="6" s="1"/>
  <c r="H4041" i="6"/>
  <c r="I4041" i="6" s="1"/>
  <c r="H4037" i="6"/>
  <c r="I4037" i="6" s="1"/>
  <c r="H4035" i="6"/>
  <c r="I4035" i="6" s="1"/>
  <c r="H4030" i="6"/>
  <c r="H4028" i="6"/>
  <c r="H4026" i="6"/>
  <c r="I4026" i="6" s="1"/>
  <c r="I4027" i="6" s="1"/>
  <c r="H4024" i="6"/>
  <c r="I4024" i="6" s="1"/>
  <c r="H4023" i="6"/>
  <c r="I4023" i="6" s="1"/>
  <c r="H4022" i="6"/>
  <c r="I4022" i="6" s="1"/>
  <c r="H4021" i="6"/>
  <c r="I4021" i="6" s="1"/>
  <c r="H4017" i="6"/>
  <c r="I4017" i="6" s="1"/>
  <c r="H4015" i="6"/>
  <c r="I4015" i="6" s="1"/>
  <c r="H4010" i="6"/>
  <c r="H4008" i="6"/>
  <c r="H4006" i="6"/>
  <c r="I4006" i="6" s="1"/>
  <c r="I4007" i="6" s="1"/>
  <c r="H4004" i="6"/>
  <c r="I4004" i="6" s="1"/>
  <c r="H4003" i="6"/>
  <c r="I4003" i="6" s="1"/>
  <c r="H4002" i="6"/>
  <c r="I4002" i="6" s="1"/>
  <c r="H4001" i="6"/>
  <c r="I4001" i="6" s="1"/>
  <c r="H3997" i="6"/>
  <c r="I3997" i="6" s="1"/>
  <c r="H3995" i="6"/>
  <c r="I3995" i="6" s="1"/>
  <c r="H3990" i="6"/>
  <c r="H3988" i="6"/>
  <c r="H3986" i="6"/>
  <c r="I3986" i="6" s="1"/>
  <c r="I3987" i="6" s="1"/>
  <c r="H3984" i="6"/>
  <c r="I3984" i="6" s="1"/>
  <c r="H3983" i="6"/>
  <c r="I3983" i="6" s="1"/>
  <c r="H3982" i="6"/>
  <c r="I3982" i="6" s="1"/>
  <c r="H3981" i="6"/>
  <c r="I3981" i="6" s="1"/>
  <c r="H3977" i="6"/>
  <c r="I3977" i="6" s="1"/>
  <c r="H3975" i="6"/>
  <c r="I3975" i="6" s="1"/>
  <c r="H3970" i="6"/>
  <c r="H3968" i="6"/>
  <c r="H3966" i="6"/>
  <c r="I3966" i="6" s="1"/>
  <c r="I3967" i="6" s="1"/>
  <c r="H3964" i="6"/>
  <c r="I3964" i="6" s="1"/>
  <c r="H3963" i="6"/>
  <c r="I3963" i="6" s="1"/>
  <c r="H3962" i="6"/>
  <c r="I3962" i="6" s="1"/>
  <c r="H3961" i="6"/>
  <c r="I3961" i="6" s="1"/>
  <c r="H3957" i="6"/>
  <c r="I3957" i="6" s="1"/>
  <c r="H3955" i="6"/>
  <c r="I3955" i="6" s="1"/>
  <c r="H3950" i="6"/>
  <c r="H3948" i="6"/>
  <c r="H3946" i="6"/>
  <c r="I3946" i="6" s="1"/>
  <c r="I3947" i="6" s="1"/>
  <c r="H3944" i="6"/>
  <c r="I3944" i="6" s="1"/>
  <c r="H3943" i="6"/>
  <c r="I3943" i="6" s="1"/>
  <c r="H3942" i="6"/>
  <c r="I3942" i="6" s="1"/>
  <c r="H3941" i="6"/>
  <c r="I3941" i="6" s="1"/>
  <c r="H3937" i="6"/>
  <c r="I3937" i="6" s="1"/>
  <c r="H3935" i="6"/>
  <c r="I3935" i="6" s="1"/>
  <c r="H3930" i="6"/>
  <c r="H3928" i="6"/>
  <c r="H3926" i="6"/>
  <c r="I3926" i="6" s="1"/>
  <c r="I3927" i="6" s="1"/>
  <c r="H3924" i="6"/>
  <c r="I3924" i="6" s="1"/>
  <c r="H3923" i="6"/>
  <c r="I3923" i="6" s="1"/>
  <c r="H3922" i="6"/>
  <c r="I3922" i="6" s="1"/>
  <c r="H3918" i="6"/>
  <c r="I3918" i="6" s="1"/>
  <c r="H3916" i="6"/>
  <c r="I3916" i="6" s="1"/>
  <c r="H3911" i="6"/>
  <c r="H3909" i="6"/>
  <c r="H3907" i="6"/>
  <c r="I3907" i="6" s="1"/>
  <c r="I3908" i="6" s="1"/>
  <c r="H3905" i="6"/>
  <c r="I3905" i="6" s="1"/>
  <c r="H3904" i="6"/>
  <c r="I3904" i="6" s="1"/>
  <c r="H3903" i="6"/>
  <c r="I3903" i="6" s="1"/>
  <c r="H3899" i="6"/>
  <c r="I3899" i="6" s="1"/>
  <c r="H3897" i="6"/>
  <c r="I3897" i="6" s="1"/>
  <c r="H3896" i="6"/>
  <c r="H3892" i="6"/>
  <c r="H3890" i="6"/>
  <c r="H3888" i="6"/>
  <c r="I3888" i="6" s="1"/>
  <c r="I3889" i="6" s="1"/>
  <c r="H3886" i="6"/>
  <c r="I3886" i="6" s="1"/>
  <c r="H3885" i="6"/>
  <c r="I3885" i="6" s="1"/>
  <c r="H3884" i="6"/>
  <c r="I3884" i="6" s="1"/>
  <c r="H3880" i="6"/>
  <c r="I3880" i="6" s="1"/>
  <c r="H3878" i="6"/>
  <c r="I3878" i="6" s="1"/>
  <c r="H3873" i="6"/>
  <c r="H3871" i="6"/>
  <c r="H3869" i="6"/>
  <c r="I3869" i="6" s="1"/>
  <c r="I3870" i="6" s="1"/>
  <c r="H3867" i="6"/>
  <c r="I3867" i="6" s="1"/>
  <c r="H3866" i="6"/>
  <c r="I3866" i="6" s="1"/>
  <c r="H3865" i="6"/>
  <c r="I3865" i="6" s="1"/>
  <c r="H3864" i="6"/>
  <c r="I3864" i="6" s="1"/>
  <c r="H3860" i="6"/>
  <c r="I3860" i="6" s="1"/>
  <c r="H3858" i="6"/>
  <c r="I3858" i="6" s="1"/>
  <c r="H3853" i="6"/>
  <c r="H3851" i="6"/>
  <c r="H3849" i="6"/>
  <c r="I3849" i="6" s="1"/>
  <c r="I3850" i="6" s="1"/>
  <c r="H3847" i="6"/>
  <c r="I3847" i="6" s="1"/>
  <c r="H3846" i="6"/>
  <c r="I3846" i="6" s="1"/>
  <c r="H3845" i="6"/>
  <c r="I3845" i="6" s="1"/>
  <c r="H3844" i="6"/>
  <c r="I3844" i="6" s="1"/>
  <c r="H3840" i="6"/>
  <c r="I3840" i="6" s="1"/>
  <c r="H3838" i="6"/>
  <c r="I3838" i="6" s="1"/>
  <c r="H3833" i="6"/>
  <c r="H3831" i="6"/>
  <c r="H3829" i="6"/>
  <c r="I3829" i="6" s="1"/>
  <c r="I3830" i="6" s="1"/>
  <c r="H3827" i="6"/>
  <c r="I3827" i="6" s="1"/>
  <c r="H3826" i="6"/>
  <c r="I3826" i="6" s="1"/>
  <c r="H3825" i="6"/>
  <c r="I3825" i="6" s="1"/>
  <c r="H3824" i="6"/>
  <c r="I3824" i="6" s="1"/>
  <c r="H3820" i="6"/>
  <c r="I3820" i="6" s="1"/>
  <c r="H3818" i="6"/>
  <c r="I3818" i="6" s="1"/>
  <c r="H3813" i="6"/>
  <c r="H3811" i="6"/>
  <c r="H3809" i="6"/>
  <c r="I3809" i="6" s="1"/>
  <c r="I3810" i="6" s="1"/>
  <c r="H3807" i="6"/>
  <c r="I3807" i="6" s="1"/>
  <c r="H3806" i="6"/>
  <c r="I3806" i="6" s="1"/>
  <c r="H3805" i="6"/>
  <c r="I3805" i="6" s="1"/>
  <c r="H3804" i="6"/>
  <c r="I3804" i="6" s="1"/>
  <c r="H3800" i="6"/>
  <c r="I3800" i="6" s="1"/>
  <c r="H3799" i="6"/>
  <c r="I3799" i="6" s="1"/>
  <c r="H3798" i="6"/>
  <c r="I3798" i="6" s="1"/>
  <c r="H3793" i="6"/>
  <c r="H3791" i="6"/>
  <c r="H3789" i="6"/>
  <c r="I3789" i="6" s="1"/>
  <c r="I3790" i="6" s="1"/>
  <c r="H3787" i="6"/>
  <c r="I3787" i="6" s="1"/>
  <c r="H3786" i="6"/>
  <c r="I3786" i="6" s="1"/>
  <c r="H3785" i="6"/>
  <c r="I3785" i="6" s="1"/>
  <c r="H3784" i="6"/>
  <c r="I3784" i="6" s="1"/>
  <c r="H3780" i="6"/>
  <c r="I3780" i="6" s="1"/>
  <c r="H3778" i="6"/>
  <c r="I3778" i="6" s="1"/>
  <c r="H3773" i="6"/>
  <c r="H3771" i="6"/>
  <c r="H3769" i="6"/>
  <c r="I3769" i="6" s="1"/>
  <c r="I3770" i="6" s="1"/>
  <c r="H3767" i="6"/>
  <c r="I3767" i="6" s="1"/>
  <c r="H3766" i="6"/>
  <c r="I3766" i="6" s="1"/>
  <c r="H3765" i="6"/>
  <c r="I3765" i="6" s="1"/>
  <c r="H3764" i="6"/>
  <c r="I3764" i="6" s="1"/>
  <c r="H3760" i="6"/>
  <c r="I3760" i="6" s="1"/>
  <c r="H3758" i="6"/>
  <c r="I3758" i="6" s="1"/>
  <c r="H3753" i="6"/>
  <c r="H3751" i="6"/>
  <c r="H3749" i="6"/>
  <c r="I3749" i="6" s="1"/>
  <c r="I3750" i="6" s="1"/>
  <c r="H3747" i="6"/>
  <c r="I3747" i="6" s="1"/>
  <c r="H3746" i="6"/>
  <c r="I3746" i="6" s="1"/>
  <c r="H3745" i="6"/>
  <c r="I3745" i="6" s="1"/>
  <c r="H3744" i="6"/>
  <c r="I3744" i="6" s="1"/>
  <c r="H3741" i="6"/>
  <c r="I3741" i="6" s="1"/>
  <c r="H3740" i="6"/>
  <c r="I3740" i="6" s="1"/>
  <c r="H3738" i="6"/>
  <c r="I3738" i="6" s="1"/>
  <c r="H3733" i="6"/>
  <c r="H3731" i="6"/>
  <c r="H3729" i="6"/>
  <c r="I3729" i="6" s="1"/>
  <c r="I3730" i="6" s="1"/>
  <c r="H3727" i="6"/>
  <c r="I3727" i="6" s="1"/>
  <c r="H3726" i="6"/>
  <c r="I3726" i="6" s="1"/>
  <c r="H3725" i="6"/>
  <c r="I3725" i="6" s="1"/>
  <c r="H3724" i="6"/>
  <c r="I3724" i="6" s="1"/>
  <c r="H3720" i="6"/>
  <c r="I3720" i="6" s="1"/>
  <c r="H3718" i="6"/>
  <c r="I3718" i="6" s="1"/>
  <c r="H3713" i="6"/>
  <c r="H3711" i="6"/>
  <c r="H3709" i="6"/>
  <c r="I3709" i="6" s="1"/>
  <c r="I3710" i="6" s="1"/>
  <c r="H3707" i="6"/>
  <c r="I3707" i="6" s="1"/>
  <c r="H3706" i="6"/>
  <c r="I3706" i="6" s="1"/>
  <c r="H3705" i="6"/>
  <c r="I3705" i="6" s="1"/>
  <c r="H3704" i="6"/>
  <c r="I3704" i="6" s="1"/>
  <c r="H3700" i="6"/>
  <c r="I3700" i="6" s="1"/>
  <c r="H3698" i="6"/>
  <c r="I3698" i="6" s="1"/>
  <c r="H3693" i="6"/>
  <c r="H3691" i="6"/>
  <c r="H3689" i="6"/>
  <c r="I3689" i="6" s="1"/>
  <c r="I3690" i="6" s="1"/>
  <c r="H3687" i="6"/>
  <c r="I3687" i="6" s="1"/>
  <c r="H3686" i="6"/>
  <c r="I3686" i="6" s="1"/>
  <c r="H3685" i="6"/>
  <c r="I3685" i="6" s="1"/>
  <c r="H3684" i="6"/>
  <c r="I3684" i="6" s="1"/>
  <c r="H3680" i="6"/>
  <c r="I3680" i="6" s="1"/>
  <c r="H3678" i="6"/>
  <c r="I3678" i="6" s="1"/>
  <c r="H3673" i="6"/>
  <c r="H3671" i="6"/>
  <c r="H3669" i="6"/>
  <c r="I3669" i="6" s="1"/>
  <c r="I3670" i="6" s="1"/>
  <c r="H3667" i="6"/>
  <c r="I3667" i="6" s="1"/>
  <c r="H3666" i="6"/>
  <c r="I3666" i="6" s="1"/>
  <c r="H3665" i="6"/>
  <c r="I3665" i="6" s="1"/>
  <c r="H3664" i="6"/>
  <c r="I3664" i="6" s="1"/>
  <c r="H3660" i="6"/>
  <c r="I3660" i="6" s="1"/>
  <c r="H3658" i="6"/>
  <c r="I3658" i="6" s="1"/>
  <c r="H3653" i="6"/>
  <c r="H3651" i="6"/>
  <c r="H3649" i="6"/>
  <c r="I3649" i="6" s="1"/>
  <c r="I3650" i="6" s="1"/>
  <c r="H3647" i="6"/>
  <c r="I3647" i="6" s="1"/>
  <c r="H3646" i="6"/>
  <c r="I3646" i="6" s="1"/>
  <c r="H3645" i="6"/>
  <c r="I3645" i="6" s="1"/>
  <c r="H3644" i="6"/>
  <c r="I3644" i="6" s="1"/>
  <c r="H3640" i="6"/>
  <c r="I3640" i="6" s="1"/>
  <c r="H3639" i="6"/>
  <c r="I3639" i="6" s="1"/>
  <c r="H3638" i="6"/>
  <c r="I3638" i="6" s="1"/>
  <c r="H3633" i="6"/>
  <c r="H3631" i="6"/>
  <c r="H3629" i="6"/>
  <c r="I3629" i="6" s="1"/>
  <c r="I3630" i="6" s="1"/>
  <c r="H3627" i="6"/>
  <c r="I3627" i="6" s="1"/>
  <c r="H3626" i="6"/>
  <c r="I3626" i="6" s="1"/>
  <c r="H3625" i="6"/>
  <c r="I3625" i="6" s="1"/>
  <c r="H3621" i="6"/>
  <c r="I3621" i="6" s="1"/>
  <c r="H3619" i="6"/>
  <c r="I3619" i="6" s="1"/>
  <c r="H3614" i="6"/>
  <c r="H3612" i="6"/>
  <c r="H3610" i="6"/>
  <c r="I3610" i="6" s="1"/>
  <c r="I3611" i="6" s="1"/>
  <c r="H3608" i="6"/>
  <c r="I3608" i="6" s="1"/>
  <c r="H3607" i="6"/>
  <c r="I3607" i="6" s="1"/>
  <c r="H3606" i="6"/>
  <c r="I3606" i="6" s="1"/>
  <c r="H3602" i="6"/>
  <c r="I3602" i="6" s="1"/>
  <c r="H3600" i="6"/>
  <c r="I3600" i="6" s="1"/>
  <c r="H3595" i="6"/>
  <c r="H3593" i="6"/>
  <c r="H3591" i="6"/>
  <c r="I3591" i="6" s="1"/>
  <c r="I3592" i="6" s="1"/>
  <c r="H3589" i="6"/>
  <c r="I3589" i="6" s="1"/>
  <c r="H3588" i="6"/>
  <c r="I3588" i="6" s="1"/>
  <c r="H3587" i="6"/>
  <c r="I3587" i="6" s="1"/>
  <c r="H3583" i="6"/>
  <c r="I3583" i="6" s="1"/>
  <c r="H3581" i="6"/>
  <c r="I3581" i="6" s="1"/>
  <c r="H3575" i="6"/>
  <c r="H3573" i="6"/>
  <c r="H3571" i="6"/>
  <c r="I3571" i="6" s="1"/>
  <c r="I3572" i="6" s="1"/>
  <c r="H3569" i="6"/>
  <c r="G3569" i="6"/>
  <c r="H3565" i="6"/>
  <c r="I3565" i="6" s="1"/>
  <c r="H3563" i="6"/>
  <c r="I3563" i="6" s="1"/>
  <c r="H3558" i="6"/>
  <c r="H3556" i="6"/>
  <c r="H3554" i="6"/>
  <c r="I3554" i="6" s="1"/>
  <c r="I3555" i="6" s="1"/>
  <c r="H3552" i="6"/>
  <c r="G3552" i="6"/>
  <c r="H3548" i="6"/>
  <c r="I3548" i="6" s="1"/>
  <c r="H3546" i="6"/>
  <c r="I3546" i="6" s="1"/>
  <c r="H3541" i="6"/>
  <c r="H3539" i="6"/>
  <c r="H3537" i="6"/>
  <c r="I3537" i="6" s="1"/>
  <c r="I3538" i="6" s="1"/>
  <c r="H3535" i="6"/>
  <c r="I3535" i="6" s="1"/>
  <c r="I3536" i="6" s="1"/>
  <c r="H3531" i="6"/>
  <c r="I3531" i="6" s="1"/>
  <c r="H3529" i="6"/>
  <c r="I3529" i="6" s="1"/>
  <c r="H3524" i="6"/>
  <c r="H3522" i="6"/>
  <c r="H3520" i="6"/>
  <c r="I3520" i="6" s="1"/>
  <c r="I3521" i="6" s="1"/>
  <c r="H3518" i="6"/>
  <c r="I3518" i="6" s="1"/>
  <c r="H3517" i="6"/>
  <c r="I3517" i="6" s="1"/>
  <c r="H3513" i="6"/>
  <c r="I3513" i="6" s="1"/>
  <c r="H3511" i="6"/>
  <c r="I3511" i="6" s="1"/>
  <c r="H3506" i="6"/>
  <c r="H3504" i="6"/>
  <c r="H3502" i="6"/>
  <c r="I3502" i="6" s="1"/>
  <c r="I3503" i="6" s="1"/>
  <c r="H3500" i="6"/>
  <c r="I3500" i="6" s="1"/>
  <c r="I3501" i="6" s="1"/>
  <c r="H3496" i="6"/>
  <c r="I3496" i="6" s="1"/>
  <c r="H3494" i="6"/>
  <c r="I3494" i="6" s="1"/>
  <c r="H3489" i="6"/>
  <c r="H3487" i="6"/>
  <c r="H3485" i="6"/>
  <c r="I3485" i="6" s="1"/>
  <c r="I3486" i="6" s="1"/>
  <c r="H3483" i="6"/>
  <c r="I3483" i="6" s="1"/>
  <c r="I3484" i="6" s="1"/>
  <c r="H3479" i="6"/>
  <c r="I3479" i="6" s="1"/>
  <c r="H3477" i="6"/>
  <c r="I3477" i="6" s="1"/>
  <c r="H3472" i="6"/>
  <c r="H3470" i="6"/>
  <c r="H3468" i="6"/>
  <c r="I3468" i="6" s="1"/>
  <c r="I3469" i="6" s="1"/>
  <c r="H3466" i="6"/>
  <c r="I3466" i="6" s="1"/>
  <c r="H3465" i="6"/>
  <c r="I3465" i="6" s="1"/>
  <c r="H3461" i="6"/>
  <c r="I3461" i="6" s="1"/>
  <c r="H3459" i="6"/>
  <c r="I3459" i="6" s="1"/>
  <c r="H3454" i="6"/>
  <c r="H3452" i="6"/>
  <c r="H3450" i="6"/>
  <c r="I3450" i="6" s="1"/>
  <c r="I3451" i="6" s="1"/>
  <c r="H3448" i="6"/>
  <c r="I3448" i="6" s="1"/>
  <c r="H3447" i="6"/>
  <c r="I3447" i="6" s="1"/>
  <c r="H3443" i="6"/>
  <c r="I3443" i="6" s="1"/>
  <c r="H3441" i="6"/>
  <c r="I3441" i="6" s="1"/>
  <c r="H3436" i="6"/>
  <c r="H3434" i="6"/>
  <c r="H3432" i="6"/>
  <c r="I3432" i="6" s="1"/>
  <c r="I3433" i="6" s="1"/>
  <c r="H3430" i="6"/>
  <c r="I3430" i="6" s="1"/>
  <c r="H3429" i="6"/>
  <c r="I3429" i="6" s="1"/>
  <c r="H3425" i="6"/>
  <c r="I3425" i="6" s="1"/>
  <c r="H3423" i="6"/>
  <c r="I3423" i="6" s="1"/>
  <c r="H3418" i="6"/>
  <c r="H3416" i="6"/>
  <c r="H3414" i="6"/>
  <c r="I3414" i="6" s="1"/>
  <c r="I3415" i="6" s="1"/>
  <c r="H3412" i="6"/>
  <c r="I3412" i="6" s="1"/>
  <c r="H3411" i="6"/>
  <c r="I3411" i="6" s="1"/>
  <c r="H3407" i="6"/>
  <c r="I3407" i="6" s="1"/>
  <c r="H3406" i="6"/>
  <c r="I3406" i="6" s="1"/>
  <c r="H3405" i="6"/>
  <c r="I3405" i="6" s="1"/>
  <c r="H3400" i="6"/>
  <c r="H3398" i="6"/>
  <c r="H3396" i="6"/>
  <c r="I3396" i="6" s="1"/>
  <c r="I3397" i="6" s="1"/>
  <c r="H3394" i="6"/>
  <c r="I3394" i="6" s="1"/>
  <c r="H3393" i="6"/>
  <c r="I3393" i="6" s="1"/>
  <c r="H3389" i="6"/>
  <c r="I3389" i="6" s="1"/>
  <c r="H3387" i="6"/>
  <c r="I3387" i="6" s="1"/>
  <c r="H3382" i="6"/>
  <c r="H3380" i="6"/>
  <c r="H3378" i="6"/>
  <c r="I3378" i="6" s="1"/>
  <c r="I3379" i="6" s="1"/>
  <c r="H3376" i="6"/>
  <c r="I3376" i="6" s="1"/>
  <c r="H3375" i="6"/>
  <c r="I3375" i="6" s="1"/>
  <c r="H3374" i="6"/>
  <c r="I3374" i="6" s="1"/>
  <c r="H3370" i="6"/>
  <c r="I3370" i="6" s="1"/>
  <c r="H3368" i="6"/>
  <c r="I3368" i="6" s="1"/>
  <c r="H3363" i="6"/>
  <c r="H3361" i="6"/>
  <c r="H3359" i="6"/>
  <c r="I3359" i="6" s="1"/>
  <c r="I3360" i="6" s="1"/>
  <c r="H3357" i="6"/>
  <c r="I3357" i="6" s="1"/>
  <c r="H3356" i="6"/>
  <c r="I3356" i="6" s="1"/>
  <c r="H3352" i="6"/>
  <c r="I3352" i="6" s="1"/>
  <c r="H3350" i="6"/>
  <c r="I3350" i="6" s="1"/>
  <c r="H3345" i="6"/>
  <c r="H3343" i="6"/>
  <c r="H3341" i="6"/>
  <c r="I3341" i="6" s="1"/>
  <c r="I3342" i="6" s="1"/>
  <c r="H3339" i="6"/>
  <c r="I3339" i="6" s="1"/>
  <c r="H3338" i="6"/>
  <c r="I3338" i="6" s="1"/>
  <c r="H3334" i="6"/>
  <c r="I3334" i="6" s="1"/>
  <c r="H3332" i="6"/>
  <c r="I3332" i="6" s="1"/>
  <c r="H3327" i="6"/>
  <c r="H3325" i="6"/>
  <c r="H3323" i="6"/>
  <c r="I3323" i="6" s="1"/>
  <c r="I3324" i="6" s="1"/>
  <c r="H3321" i="6"/>
  <c r="I3321" i="6" s="1"/>
  <c r="H3320" i="6"/>
  <c r="I3320" i="6" s="1"/>
  <c r="H3316" i="6"/>
  <c r="I3316" i="6" s="1"/>
  <c r="H3314" i="6"/>
  <c r="I3314" i="6" s="1"/>
  <c r="H3309" i="6"/>
  <c r="H3307" i="6"/>
  <c r="H3305" i="6"/>
  <c r="I3305" i="6" s="1"/>
  <c r="I3306" i="6" s="1"/>
  <c r="H3303" i="6"/>
  <c r="I3303" i="6" s="1"/>
  <c r="H3302" i="6"/>
  <c r="I3302" i="6" s="1"/>
  <c r="H3298" i="6"/>
  <c r="I3298" i="6" s="1"/>
  <c r="H3297" i="6"/>
  <c r="I3297" i="6" s="1"/>
  <c r="H3296" i="6"/>
  <c r="I3296" i="6" s="1"/>
  <c r="H3291" i="6"/>
  <c r="H3289" i="6"/>
  <c r="H3287" i="6"/>
  <c r="I3287" i="6" s="1"/>
  <c r="I3288" i="6" s="1"/>
  <c r="H3285" i="6"/>
  <c r="I3285" i="6" s="1"/>
  <c r="H3284" i="6"/>
  <c r="I3284" i="6" s="1"/>
  <c r="H3280" i="6"/>
  <c r="I3280" i="6" s="1"/>
  <c r="H3278" i="6"/>
  <c r="I3278" i="6" s="1"/>
  <c r="H3273" i="6"/>
  <c r="H3271" i="6"/>
  <c r="H3269" i="6"/>
  <c r="I3269" i="6" s="1"/>
  <c r="I3270" i="6" s="1"/>
  <c r="H3267" i="6"/>
  <c r="I3267" i="6" s="1"/>
  <c r="H3266" i="6"/>
  <c r="I3266" i="6" s="1"/>
  <c r="H3265" i="6"/>
  <c r="I3265" i="6" s="1"/>
  <c r="H3261" i="6"/>
  <c r="I3261" i="6" s="1"/>
  <c r="H3259" i="6"/>
  <c r="I3259" i="6" s="1"/>
  <c r="H3254" i="6"/>
  <c r="H3252" i="6"/>
  <c r="H3250" i="6"/>
  <c r="I3250" i="6" s="1"/>
  <c r="I3251" i="6" s="1"/>
  <c r="H3248" i="6"/>
  <c r="I3248" i="6" s="1"/>
  <c r="H3247" i="6"/>
  <c r="I3247" i="6" s="1"/>
  <c r="H3246" i="6"/>
  <c r="I3246" i="6" s="1"/>
  <c r="H3242" i="6"/>
  <c r="I3242" i="6" s="1"/>
  <c r="H3241" i="6"/>
  <c r="I3241" i="6" s="1"/>
  <c r="H3240" i="6"/>
  <c r="I3240" i="6" s="1"/>
  <c r="H3235" i="6"/>
  <c r="H3233" i="6"/>
  <c r="H3231" i="6"/>
  <c r="I3231" i="6" s="1"/>
  <c r="I3232" i="6" s="1"/>
  <c r="H3229" i="6"/>
  <c r="I3229" i="6" s="1"/>
  <c r="H3228" i="6"/>
  <c r="I3228" i="6" s="1"/>
  <c r="H3227" i="6"/>
  <c r="I3227" i="6" s="1"/>
  <c r="H3223" i="6"/>
  <c r="I3223" i="6" s="1"/>
  <c r="H3221" i="6"/>
  <c r="I3221" i="6" s="1"/>
  <c r="H3216" i="6"/>
  <c r="H3214" i="6"/>
  <c r="H3212" i="6"/>
  <c r="I3212" i="6" s="1"/>
  <c r="I3213" i="6" s="1"/>
  <c r="H3210" i="6"/>
  <c r="I3210" i="6" s="1"/>
  <c r="H3209" i="6"/>
  <c r="I3209" i="6" s="1"/>
  <c r="H3208" i="6"/>
  <c r="I3208" i="6" s="1"/>
  <c r="H3204" i="6"/>
  <c r="I3204" i="6" s="1"/>
  <c r="H3202" i="6"/>
  <c r="I3202" i="6" s="1"/>
  <c r="H3197" i="6"/>
  <c r="H3195" i="6"/>
  <c r="H3193" i="6"/>
  <c r="I3193" i="6" s="1"/>
  <c r="I3194" i="6" s="1"/>
  <c r="H3191" i="6"/>
  <c r="I3191" i="6" s="1"/>
  <c r="H3190" i="6"/>
  <c r="I3190" i="6" s="1"/>
  <c r="H3186" i="6"/>
  <c r="I3186" i="6" s="1"/>
  <c r="H3184" i="6"/>
  <c r="I3184" i="6" s="1"/>
  <c r="H3179" i="6"/>
  <c r="H3177" i="6"/>
  <c r="H3175" i="6"/>
  <c r="I3175" i="6" s="1"/>
  <c r="I3176" i="6" s="1"/>
  <c r="H3173" i="6"/>
  <c r="I3173" i="6" s="1"/>
  <c r="H3172" i="6"/>
  <c r="I3172" i="6" s="1"/>
  <c r="H3168" i="6"/>
  <c r="I3168" i="6" s="1"/>
  <c r="H3166" i="6"/>
  <c r="I3166" i="6" s="1"/>
  <c r="H3161" i="6"/>
  <c r="H3159" i="6"/>
  <c r="H3157" i="6"/>
  <c r="I3157" i="6" s="1"/>
  <c r="I3158" i="6" s="1"/>
  <c r="H3155" i="6"/>
  <c r="I3155" i="6" s="1"/>
  <c r="H3154" i="6"/>
  <c r="I3154" i="6" s="1"/>
  <c r="H3150" i="6"/>
  <c r="I3150" i="6" s="1"/>
  <c r="H3149" i="6"/>
  <c r="I3149" i="6" s="1"/>
  <c r="H3148" i="6"/>
  <c r="I3148" i="6" s="1"/>
  <c r="H3143" i="6"/>
  <c r="H3141" i="6"/>
  <c r="H3139" i="6"/>
  <c r="I3139" i="6" s="1"/>
  <c r="I3140" i="6" s="1"/>
  <c r="H3137" i="6"/>
  <c r="I3137" i="6" s="1"/>
  <c r="H3136" i="6"/>
  <c r="I3136" i="6" s="1"/>
  <c r="H3132" i="6"/>
  <c r="I3132" i="6" s="1"/>
  <c r="H3130" i="6"/>
  <c r="I3130" i="6" s="1"/>
  <c r="H3125" i="6"/>
  <c r="H3123" i="6"/>
  <c r="H3121" i="6"/>
  <c r="I3121" i="6" s="1"/>
  <c r="I3122" i="6" s="1"/>
  <c r="H3119" i="6"/>
  <c r="I3119" i="6" s="1"/>
  <c r="H3118" i="6"/>
  <c r="I3118" i="6" s="1"/>
  <c r="H3114" i="6"/>
  <c r="I3114" i="6" s="1"/>
  <c r="H3112" i="6"/>
  <c r="I3112" i="6" s="1"/>
  <c r="H3107" i="6"/>
  <c r="H3105" i="6"/>
  <c r="H3103" i="6"/>
  <c r="I3103" i="6" s="1"/>
  <c r="I3104" i="6" s="1"/>
  <c r="H3101" i="6"/>
  <c r="I3101" i="6" s="1"/>
  <c r="H3100" i="6"/>
  <c r="I3100" i="6" s="1"/>
  <c r="H3096" i="6"/>
  <c r="I3096" i="6" s="1"/>
  <c r="H3094" i="6"/>
  <c r="I3094" i="6" s="1"/>
  <c r="H3089" i="6"/>
  <c r="H3087" i="6"/>
  <c r="H3085" i="6"/>
  <c r="I3085" i="6" s="1"/>
  <c r="I3086" i="6" s="1"/>
  <c r="H3083" i="6"/>
  <c r="I3083" i="6" s="1"/>
  <c r="H3082" i="6"/>
  <c r="I3082" i="6" s="1"/>
  <c r="H3078" i="6"/>
  <c r="I3078" i="6" s="1"/>
  <c r="H3076" i="6"/>
  <c r="I3076" i="6" s="1"/>
  <c r="H3071" i="6"/>
  <c r="H3069" i="6"/>
  <c r="H3067" i="6"/>
  <c r="I3067" i="6" s="1"/>
  <c r="I3068" i="6" s="1"/>
  <c r="H3065" i="6"/>
  <c r="I3065" i="6" s="1"/>
  <c r="H3064" i="6"/>
  <c r="I3064" i="6" s="1"/>
  <c r="H3060" i="6"/>
  <c r="I3060" i="6" s="1"/>
  <c r="H3058" i="6"/>
  <c r="I3058" i="6" s="1"/>
  <c r="H3051" i="6"/>
  <c r="H3049" i="6"/>
  <c r="I3048" i="6"/>
  <c r="H3044" i="6"/>
  <c r="I3044" i="6" s="1"/>
  <c r="H3043" i="6"/>
  <c r="I3043" i="6" s="1"/>
  <c r="H3039" i="6"/>
  <c r="I3039" i="6" s="1"/>
  <c r="H3037" i="6"/>
  <c r="I3037" i="6" s="1"/>
  <c r="H3032" i="6"/>
  <c r="H3030" i="6"/>
  <c r="I3029" i="6"/>
  <c r="H3025" i="6"/>
  <c r="G3025" i="6"/>
  <c r="H3024" i="6"/>
  <c r="I3024" i="6" s="1"/>
  <c r="H3020" i="6"/>
  <c r="I3020" i="6" s="1"/>
  <c r="H3018" i="6"/>
  <c r="I3018" i="6" s="1"/>
  <c r="H3013" i="6"/>
  <c r="H3011" i="6"/>
  <c r="H3009" i="6"/>
  <c r="I3009" i="6" s="1"/>
  <c r="I3010" i="6" s="1"/>
  <c r="H3007" i="6"/>
  <c r="I3007" i="6" s="1"/>
  <c r="H3006" i="6"/>
  <c r="I3006" i="6" s="1"/>
  <c r="H3005" i="6"/>
  <c r="I3005" i="6" s="1"/>
  <c r="H3001" i="6"/>
  <c r="I3001" i="6" s="1"/>
  <c r="H2999" i="6"/>
  <c r="I2999" i="6" s="1"/>
  <c r="H2994" i="6"/>
  <c r="H2992" i="6"/>
  <c r="H2990" i="6"/>
  <c r="I2990" i="6" s="1"/>
  <c r="I2991" i="6" s="1"/>
  <c r="H2988" i="6"/>
  <c r="I2988" i="6" s="1"/>
  <c r="H2987" i="6"/>
  <c r="I2987" i="6" s="1"/>
  <c r="H2986" i="6"/>
  <c r="I2986" i="6" s="1"/>
  <c r="H2982" i="6"/>
  <c r="I2982" i="6" s="1"/>
  <c r="H2981" i="6"/>
  <c r="I2981" i="6" s="1"/>
  <c r="H2980" i="6"/>
  <c r="I2980" i="6" s="1"/>
  <c r="H2975" i="6"/>
  <c r="H2973" i="6"/>
  <c r="H2971" i="6"/>
  <c r="I2971" i="6" s="1"/>
  <c r="I2972" i="6" s="1"/>
  <c r="H2969" i="6"/>
  <c r="I2969" i="6" s="1"/>
  <c r="H2968" i="6"/>
  <c r="I2968" i="6" s="1"/>
  <c r="H2967" i="6"/>
  <c r="I2967" i="6" s="1"/>
  <c r="H2963" i="6"/>
  <c r="I2963" i="6" s="1"/>
  <c r="H2961" i="6"/>
  <c r="I2961" i="6" s="1"/>
  <c r="H2956" i="6"/>
  <c r="H2954" i="6"/>
  <c r="H2952" i="6"/>
  <c r="I2952" i="6" s="1"/>
  <c r="I2953" i="6" s="1"/>
  <c r="H2950" i="6"/>
  <c r="I2950" i="6" s="1"/>
  <c r="H2949" i="6"/>
  <c r="I2949" i="6" s="1"/>
  <c r="H2948" i="6"/>
  <c r="I2948" i="6" s="1"/>
  <c r="H2947" i="6"/>
  <c r="I2947" i="6" s="1"/>
  <c r="H2944" i="6"/>
  <c r="I2944" i="6" s="1"/>
  <c r="H2943" i="6"/>
  <c r="I2943" i="6" s="1"/>
  <c r="H2942" i="6"/>
  <c r="I2942" i="6" s="1"/>
  <c r="H2941" i="6"/>
  <c r="I2941" i="6" s="1"/>
  <c r="H2936" i="6"/>
  <c r="H2934" i="6"/>
  <c r="H2932" i="6"/>
  <c r="I2932" i="6" s="1"/>
  <c r="I2933" i="6" s="1"/>
  <c r="H2930" i="6"/>
  <c r="I2930" i="6" s="1"/>
  <c r="H2929" i="6"/>
  <c r="I2929" i="6" s="1"/>
  <c r="H2928" i="6"/>
  <c r="I2928" i="6" s="1"/>
  <c r="H2927" i="6"/>
  <c r="I2927" i="6" s="1"/>
  <c r="H2923" i="6"/>
  <c r="I2923" i="6" s="1"/>
  <c r="H2921" i="6"/>
  <c r="I2921" i="6" s="1"/>
  <c r="H2916" i="6"/>
  <c r="H2914" i="6"/>
  <c r="H2912" i="6"/>
  <c r="I2912" i="6" s="1"/>
  <c r="I2913" i="6" s="1"/>
  <c r="H2910" i="6"/>
  <c r="I2910" i="6" s="1"/>
  <c r="H2909" i="6"/>
  <c r="I2909" i="6" s="1"/>
  <c r="H2908" i="6"/>
  <c r="I2908" i="6" s="1"/>
  <c r="H2907" i="6"/>
  <c r="I2907" i="6" s="1"/>
  <c r="H2904" i="6"/>
  <c r="I2904" i="6" s="1"/>
  <c r="H2903" i="6"/>
  <c r="I2903" i="6" s="1"/>
  <c r="H2901" i="6"/>
  <c r="I2901" i="6" s="1"/>
  <c r="H2896" i="6"/>
  <c r="H2894" i="6"/>
  <c r="H2892" i="6"/>
  <c r="I2892" i="6" s="1"/>
  <c r="I2893" i="6" s="1"/>
  <c r="H2890" i="6"/>
  <c r="I2890" i="6" s="1"/>
  <c r="H2889" i="6"/>
  <c r="I2889" i="6" s="1"/>
  <c r="H2888" i="6"/>
  <c r="I2888" i="6" s="1"/>
  <c r="H2887" i="6"/>
  <c r="I2887" i="6" s="1"/>
  <c r="H2883" i="6"/>
  <c r="I2883" i="6" s="1"/>
  <c r="H2881" i="6"/>
  <c r="I2881" i="6" s="1"/>
  <c r="H2876" i="6"/>
  <c r="H2874" i="6"/>
  <c r="H2872" i="6"/>
  <c r="I2872" i="6" s="1"/>
  <c r="I2873" i="6" s="1"/>
  <c r="H2870" i="6"/>
  <c r="I2870" i="6" s="1"/>
  <c r="H2869" i="6"/>
  <c r="I2869" i="6" s="1"/>
  <c r="H2868" i="6"/>
  <c r="I2868" i="6" s="1"/>
  <c r="H2867" i="6"/>
  <c r="I2867" i="6" s="1"/>
  <c r="H2863" i="6"/>
  <c r="I2863" i="6" s="1"/>
  <c r="H2861" i="6"/>
  <c r="I2861" i="6" s="1"/>
  <c r="H2856" i="6"/>
  <c r="H2854" i="6"/>
  <c r="H2852" i="6"/>
  <c r="I2852" i="6" s="1"/>
  <c r="I2853" i="6" s="1"/>
  <c r="H2850" i="6"/>
  <c r="I2850" i="6" s="1"/>
  <c r="H2849" i="6"/>
  <c r="I2849" i="6" s="1"/>
  <c r="H2848" i="6"/>
  <c r="I2848" i="6" s="1"/>
  <c r="H2847" i="6"/>
  <c r="I2847" i="6" s="1"/>
  <c r="H2843" i="6"/>
  <c r="I2843" i="6" s="1"/>
  <c r="H2841" i="6"/>
  <c r="I2841" i="6" s="1"/>
  <c r="H2836" i="6"/>
  <c r="H2834" i="6"/>
  <c r="H2832" i="6"/>
  <c r="I2832" i="6" s="1"/>
  <c r="I2833" i="6" s="1"/>
  <c r="H2830" i="6"/>
  <c r="I2830" i="6" s="1"/>
  <c r="H2829" i="6"/>
  <c r="I2829" i="6" s="1"/>
  <c r="H2828" i="6"/>
  <c r="I2828" i="6" s="1"/>
  <c r="H2827" i="6"/>
  <c r="I2827" i="6" s="1"/>
  <c r="H2823" i="6"/>
  <c r="I2823" i="6" s="1"/>
  <c r="H2821" i="6"/>
  <c r="I2821" i="6" s="1"/>
  <c r="H2816" i="6"/>
  <c r="H2814" i="6"/>
  <c r="H2812" i="6"/>
  <c r="I2812" i="6" s="1"/>
  <c r="I2813" i="6" s="1"/>
  <c r="H2810" i="6"/>
  <c r="I2810" i="6" s="1"/>
  <c r="H2809" i="6"/>
  <c r="I2809" i="6" s="1"/>
  <c r="H2808" i="6"/>
  <c r="I2808" i="6" s="1"/>
  <c r="H2807" i="6"/>
  <c r="I2807" i="6" s="1"/>
  <c r="H2803" i="6"/>
  <c r="I2803" i="6" s="1"/>
  <c r="H2801" i="6"/>
  <c r="I2801" i="6" s="1"/>
  <c r="H2796" i="6"/>
  <c r="H2794" i="6"/>
  <c r="H2792" i="6"/>
  <c r="I2792" i="6" s="1"/>
  <c r="I2793" i="6" s="1"/>
  <c r="H2790" i="6"/>
  <c r="I2790" i="6" s="1"/>
  <c r="H2789" i="6"/>
  <c r="I2789" i="6" s="1"/>
  <c r="H2788" i="6"/>
  <c r="I2788" i="6" s="1"/>
  <c r="H2787" i="6"/>
  <c r="I2787" i="6" s="1"/>
  <c r="H2783" i="6"/>
  <c r="I2783" i="6" s="1"/>
  <c r="H2782" i="6"/>
  <c r="I2782" i="6" s="1"/>
  <c r="H2781" i="6"/>
  <c r="I2781" i="6" s="1"/>
  <c r="H2776" i="6"/>
  <c r="H2774" i="6"/>
  <c r="H2772" i="6"/>
  <c r="I2772" i="6" s="1"/>
  <c r="I2773" i="6" s="1"/>
  <c r="H2770" i="6"/>
  <c r="I2770" i="6" s="1"/>
  <c r="H2769" i="6"/>
  <c r="I2769" i="6" s="1"/>
  <c r="H2768" i="6"/>
  <c r="I2768" i="6" s="1"/>
  <c r="H2764" i="6"/>
  <c r="I2764" i="6" s="1"/>
  <c r="H2762" i="6"/>
  <c r="I2762" i="6" s="1"/>
  <c r="H2757" i="6"/>
  <c r="H2755" i="6"/>
  <c r="H2753" i="6"/>
  <c r="I2753" i="6" s="1"/>
  <c r="I2754" i="6" s="1"/>
  <c r="H2751" i="6"/>
  <c r="I2751" i="6" s="1"/>
  <c r="H2750" i="6"/>
  <c r="I2750" i="6" s="1"/>
  <c r="H2749" i="6"/>
  <c r="I2749" i="6" s="1"/>
  <c r="H2745" i="6"/>
  <c r="I2745" i="6" s="1"/>
  <c r="H2743" i="6"/>
  <c r="I2743" i="6" s="1"/>
  <c r="H2738" i="6"/>
  <c r="H2736" i="6"/>
  <c r="H2734" i="6"/>
  <c r="I2734" i="6" s="1"/>
  <c r="I2735" i="6" s="1"/>
  <c r="H2732" i="6"/>
  <c r="I2732" i="6" s="1"/>
  <c r="H2731" i="6"/>
  <c r="I2731" i="6" s="1"/>
  <c r="H2730" i="6"/>
  <c r="I2730" i="6" s="1"/>
  <c r="H2727" i="6"/>
  <c r="I2727" i="6" s="1"/>
  <c r="H2726" i="6"/>
  <c r="I2726" i="6" s="1"/>
  <c r="H2724" i="6"/>
  <c r="I2724" i="6" s="1"/>
  <c r="H2719" i="6"/>
  <c r="H2717" i="6"/>
  <c r="H2715" i="6"/>
  <c r="I2715" i="6" s="1"/>
  <c r="I2716" i="6" s="1"/>
  <c r="H2713" i="6"/>
  <c r="I2713" i="6" s="1"/>
  <c r="H2712" i="6"/>
  <c r="I2712" i="6" s="1"/>
  <c r="H2711" i="6"/>
  <c r="I2711" i="6" s="1"/>
  <c r="H2707" i="6"/>
  <c r="I2707" i="6" s="1"/>
  <c r="H2705" i="6"/>
  <c r="I2705" i="6" s="1"/>
  <c r="H2700" i="6"/>
  <c r="H2698" i="6"/>
  <c r="H2696" i="6"/>
  <c r="I2696" i="6" s="1"/>
  <c r="I2697" i="6" s="1"/>
  <c r="H2694" i="6"/>
  <c r="I2694" i="6" s="1"/>
  <c r="H2693" i="6"/>
  <c r="I2693" i="6" s="1"/>
  <c r="H2692" i="6"/>
  <c r="I2692" i="6" s="1"/>
  <c r="H2688" i="6"/>
  <c r="I2688" i="6" s="1"/>
  <c r="H2686" i="6"/>
  <c r="I2686" i="6" s="1"/>
  <c r="H2681" i="6"/>
  <c r="H2679" i="6"/>
  <c r="H2677" i="6"/>
  <c r="I2677" i="6" s="1"/>
  <c r="I2678" i="6" s="1"/>
  <c r="H2675" i="6"/>
  <c r="I2675" i="6" s="1"/>
  <c r="H2674" i="6"/>
  <c r="I2674" i="6" s="1"/>
  <c r="H2673" i="6"/>
  <c r="I2673" i="6" s="1"/>
  <c r="H2669" i="6"/>
  <c r="I2669" i="6" s="1"/>
  <c r="H2667" i="6"/>
  <c r="I2667" i="6" s="1"/>
  <c r="H2662" i="6"/>
  <c r="H2660" i="6"/>
  <c r="H2658" i="6"/>
  <c r="I2658" i="6" s="1"/>
  <c r="I2659" i="6" s="1"/>
  <c r="H2656" i="6"/>
  <c r="I2656" i="6" s="1"/>
  <c r="H2655" i="6"/>
  <c r="I2655" i="6" s="1"/>
  <c r="H2654" i="6"/>
  <c r="I2654" i="6" s="1"/>
  <c r="H2653" i="6"/>
  <c r="I2653" i="6" s="1"/>
  <c r="H2649" i="6"/>
  <c r="I2649" i="6" s="1"/>
  <c r="H2648" i="6"/>
  <c r="I2648" i="6" s="1"/>
  <c r="H2647" i="6"/>
  <c r="I2647" i="6" s="1"/>
  <c r="H2642" i="6"/>
  <c r="H2640" i="6"/>
  <c r="H2638" i="6"/>
  <c r="I2638" i="6" s="1"/>
  <c r="I2639" i="6" s="1"/>
  <c r="H2636" i="6"/>
  <c r="I2636" i="6" s="1"/>
  <c r="H2635" i="6"/>
  <c r="I2635" i="6" s="1"/>
  <c r="H2634" i="6"/>
  <c r="I2634" i="6" s="1"/>
  <c r="H2630" i="6"/>
  <c r="I2630" i="6" s="1"/>
  <c r="H2628" i="6"/>
  <c r="I2628" i="6" s="1"/>
  <c r="H2623" i="6"/>
  <c r="H2621" i="6"/>
  <c r="H2619" i="6"/>
  <c r="I2619" i="6" s="1"/>
  <c r="I2620" i="6" s="1"/>
  <c r="H2617" i="6"/>
  <c r="I2617" i="6" s="1"/>
  <c r="H2616" i="6"/>
  <c r="I2616" i="6" s="1"/>
  <c r="H2615" i="6"/>
  <c r="I2615" i="6" s="1"/>
  <c r="H2611" i="6"/>
  <c r="I2611" i="6" s="1"/>
  <c r="H2609" i="6"/>
  <c r="I2609" i="6" s="1"/>
  <c r="H2604" i="6"/>
  <c r="H2602" i="6"/>
  <c r="H2600" i="6"/>
  <c r="I2600" i="6" s="1"/>
  <c r="I2601" i="6" s="1"/>
  <c r="H2598" i="6"/>
  <c r="I2598" i="6" s="1"/>
  <c r="H2597" i="6"/>
  <c r="I2597" i="6" s="1"/>
  <c r="H2596" i="6"/>
  <c r="I2596" i="6" s="1"/>
  <c r="H2592" i="6"/>
  <c r="I2592" i="6" s="1"/>
  <c r="H2590" i="6"/>
  <c r="I2590" i="6" s="1"/>
  <c r="H2585" i="6"/>
  <c r="H2583" i="6"/>
  <c r="H2581" i="6"/>
  <c r="I2581" i="6" s="1"/>
  <c r="I2582" i="6" s="1"/>
  <c r="H2579" i="6"/>
  <c r="I2579" i="6" s="1"/>
  <c r="H2578" i="6"/>
  <c r="I2578" i="6" s="1"/>
  <c r="H2577" i="6"/>
  <c r="I2577" i="6" s="1"/>
  <c r="H2573" i="6"/>
  <c r="I2573" i="6" s="1"/>
  <c r="H2571" i="6"/>
  <c r="I2571" i="6" s="1"/>
  <c r="H2566" i="6"/>
  <c r="H2564" i="6"/>
  <c r="H2562" i="6"/>
  <c r="I2562" i="6" s="1"/>
  <c r="I2563" i="6" s="1"/>
  <c r="H2560" i="6"/>
  <c r="I2560" i="6" s="1"/>
  <c r="H2559" i="6"/>
  <c r="I2559" i="6" s="1"/>
  <c r="H2558" i="6"/>
  <c r="I2558" i="6" s="1"/>
  <c r="H2554" i="6"/>
  <c r="I2554" i="6" s="1"/>
  <c r="H2552" i="6"/>
  <c r="I2552" i="6" s="1"/>
  <c r="H2546" i="6"/>
  <c r="H2544" i="6"/>
  <c r="I2543" i="6"/>
  <c r="H2538" i="6"/>
  <c r="I2538" i="6" s="1"/>
  <c r="I2540" i="6" s="1"/>
  <c r="H2534" i="6"/>
  <c r="I2534" i="6" s="1"/>
  <c r="H2533" i="6"/>
  <c r="I2533" i="6" s="1"/>
  <c r="H2532" i="6"/>
  <c r="I2532" i="6" s="1"/>
  <c r="H2526" i="6"/>
  <c r="H2524" i="6"/>
  <c r="I2523" i="6"/>
  <c r="H2519" i="6"/>
  <c r="I2519" i="6" s="1"/>
  <c r="H2518" i="6"/>
  <c r="I2518" i="6" s="1"/>
  <c r="H2517" i="6"/>
  <c r="I2517" i="6" s="1"/>
  <c r="H2516" i="6"/>
  <c r="I2516" i="6" s="1"/>
  <c r="H2515" i="6"/>
  <c r="I2515" i="6" s="1"/>
  <c r="H2511" i="6"/>
  <c r="I2511" i="6" s="1"/>
  <c r="H2509" i="6"/>
  <c r="I2509" i="6" s="1"/>
  <c r="H2504" i="6"/>
  <c r="H2502" i="6"/>
  <c r="I2501" i="6"/>
  <c r="H2497" i="6"/>
  <c r="I2497" i="6" s="1"/>
  <c r="I2498" i="6" s="1"/>
  <c r="I2500" i="6" s="1"/>
  <c r="H2493" i="6"/>
  <c r="I2493" i="6" s="1"/>
  <c r="H2491" i="6"/>
  <c r="I2491" i="6" s="1"/>
  <c r="H2486" i="6"/>
  <c r="H2484" i="6"/>
  <c r="H2481" i="6"/>
  <c r="I2481" i="6" s="1"/>
  <c r="H2479" i="6"/>
  <c r="I2479" i="6" s="1"/>
  <c r="I2480" i="6" s="1"/>
  <c r="I2482" i="6" s="1"/>
  <c r="I2483" i="6" s="1"/>
  <c r="H2475" i="6"/>
  <c r="I2475" i="6" s="1"/>
  <c r="H2473" i="6"/>
  <c r="I2473" i="6" s="1"/>
  <c r="H2468" i="6"/>
  <c r="H2466" i="6"/>
  <c r="H2464" i="6"/>
  <c r="I2464" i="6" s="1"/>
  <c r="I2465" i="6" s="1"/>
  <c r="H2462" i="6"/>
  <c r="I2462" i="6" s="1"/>
  <c r="H2461" i="6"/>
  <c r="I2461" i="6" s="1"/>
  <c r="H2457" i="6"/>
  <c r="I2457" i="6" s="1"/>
  <c r="H2455" i="6"/>
  <c r="I2455" i="6" s="1"/>
  <c r="H2450" i="6"/>
  <c r="H2448" i="6"/>
  <c r="H2446" i="6"/>
  <c r="I2446" i="6" s="1"/>
  <c r="I2447" i="6" s="1"/>
  <c r="H2444" i="6"/>
  <c r="I2444" i="6" s="1"/>
  <c r="H2443" i="6"/>
  <c r="I2443" i="6" s="1"/>
  <c r="H2440" i="6"/>
  <c r="I2440" i="6" s="1"/>
  <c r="H2439" i="6"/>
  <c r="I2439" i="6" s="1"/>
  <c r="H2437" i="6"/>
  <c r="I2437" i="6" s="1"/>
  <c r="H2432" i="6"/>
  <c r="H2430" i="6"/>
  <c r="H2428" i="6"/>
  <c r="I2428" i="6" s="1"/>
  <c r="I2429" i="6" s="1"/>
  <c r="H2426" i="6"/>
  <c r="I2426" i="6" s="1"/>
  <c r="H2425" i="6"/>
  <c r="I2425" i="6" s="1"/>
  <c r="H2424" i="6"/>
  <c r="I2424" i="6" s="1"/>
  <c r="H2420" i="6"/>
  <c r="I2420" i="6" s="1"/>
  <c r="H2419" i="6"/>
  <c r="I2419" i="6" s="1"/>
  <c r="H2418" i="6"/>
  <c r="I2418" i="6" s="1"/>
  <c r="H2413" i="6"/>
  <c r="H2411" i="6"/>
  <c r="H2409" i="6"/>
  <c r="I2409" i="6" s="1"/>
  <c r="I2410" i="6" s="1"/>
  <c r="H2407" i="6"/>
  <c r="I2407" i="6" s="1"/>
  <c r="H2406" i="6"/>
  <c r="I2406" i="6" s="1"/>
  <c r="H2405" i="6"/>
  <c r="I2405" i="6" s="1"/>
  <c r="H2401" i="6"/>
  <c r="I2401" i="6" s="1"/>
  <c r="H2400" i="6"/>
  <c r="I2400" i="6" s="1"/>
  <c r="H2399" i="6"/>
  <c r="I2399" i="6" s="1"/>
  <c r="H2394" i="6"/>
  <c r="H2392" i="6"/>
  <c r="H2390" i="6"/>
  <c r="I2390" i="6" s="1"/>
  <c r="I2391" i="6" s="1"/>
  <c r="H2388" i="6"/>
  <c r="I2388" i="6" s="1"/>
  <c r="H2387" i="6"/>
  <c r="I2387" i="6" s="1"/>
  <c r="H2386" i="6"/>
  <c r="I2386" i="6" s="1"/>
  <c r="H2382" i="6"/>
  <c r="I2382" i="6" s="1"/>
  <c r="H2381" i="6"/>
  <c r="I2381" i="6" s="1"/>
  <c r="H2380" i="6"/>
  <c r="I2380" i="6" s="1"/>
  <c r="H2375" i="6"/>
  <c r="H2373" i="6"/>
  <c r="H2371" i="6"/>
  <c r="I2371" i="6" s="1"/>
  <c r="I2372" i="6" s="1"/>
  <c r="H2369" i="6"/>
  <c r="I2369" i="6" s="1"/>
  <c r="H2367" i="6"/>
  <c r="I2367" i="6" s="1"/>
  <c r="H2363" i="6"/>
  <c r="I2363" i="6" s="1"/>
  <c r="H2362" i="6"/>
  <c r="I2362" i="6" s="1"/>
  <c r="H2361" i="6"/>
  <c r="I2361" i="6" s="1"/>
  <c r="H2356" i="6"/>
  <c r="H2354" i="6"/>
  <c r="H2352" i="6"/>
  <c r="I2352" i="6" s="1"/>
  <c r="I2353" i="6" s="1"/>
  <c r="H2349" i="6"/>
  <c r="I2349" i="6" s="1"/>
  <c r="H2345" i="6"/>
  <c r="I2345" i="6" s="1"/>
  <c r="H2343" i="6"/>
  <c r="I2343" i="6" s="1"/>
  <c r="H2338" i="6"/>
  <c r="H2336" i="6"/>
  <c r="H2334" i="6"/>
  <c r="I2334" i="6" s="1"/>
  <c r="I2335" i="6" s="1"/>
  <c r="H2332" i="6"/>
  <c r="I2332" i="6" s="1"/>
  <c r="I2333" i="6" s="1"/>
  <c r="H2328" i="6"/>
  <c r="I2328" i="6" s="1"/>
  <c r="H2327" i="6"/>
  <c r="I2327" i="6" s="1"/>
  <c r="H2326" i="6"/>
  <c r="I2326" i="6" s="1"/>
  <c r="H2321" i="6"/>
  <c r="H2319" i="6"/>
  <c r="H2317" i="6"/>
  <c r="I2317" i="6" s="1"/>
  <c r="I2318" i="6" s="1"/>
  <c r="H2315" i="6"/>
  <c r="I2315" i="6" s="1"/>
  <c r="H2314" i="6"/>
  <c r="I2314" i="6" s="1"/>
  <c r="H2313" i="6"/>
  <c r="I2313" i="6" s="1"/>
  <c r="H2309" i="6"/>
  <c r="I2309" i="6" s="1"/>
  <c r="H2307" i="6"/>
  <c r="I2307" i="6" s="1"/>
  <c r="H2302" i="6"/>
  <c r="H2300" i="6"/>
  <c r="H2298" i="6"/>
  <c r="I2298" i="6" s="1"/>
  <c r="I2299" i="6" s="1"/>
  <c r="H2296" i="6"/>
  <c r="I2296" i="6" s="1"/>
  <c r="H2295" i="6"/>
  <c r="I2295" i="6" s="1"/>
  <c r="H2291" i="6"/>
  <c r="I2291" i="6" s="1"/>
  <c r="H2289" i="6"/>
  <c r="I2289" i="6" s="1"/>
  <c r="H2284" i="6"/>
  <c r="H2282" i="6"/>
  <c r="H2280" i="6"/>
  <c r="I2280" i="6" s="1"/>
  <c r="I2281" i="6" s="1"/>
  <c r="H2278" i="6"/>
  <c r="I2278" i="6" s="1"/>
  <c r="H2277" i="6"/>
  <c r="I2277" i="6" s="1"/>
  <c r="H2276" i="6"/>
  <c r="I2276" i="6" s="1"/>
  <c r="H2272" i="6"/>
  <c r="I2272" i="6" s="1"/>
  <c r="H2270" i="6"/>
  <c r="I2270" i="6" s="1"/>
  <c r="H2265" i="6"/>
  <c r="H2263" i="6"/>
  <c r="H2261" i="6"/>
  <c r="I2261" i="6" s="1"/>
  <c r="I2262" i="6" s="1"/>
  <c r="H2259" i="6"/>
  <c r="I2259" i="6" s="1"/>
  <c r="I2260" i="6" s="1"/>
  <c r="H2255" i="6"/>
  <c r="I2255" i="6" s="1"/>
  <c r="H2253" i="6"/>
  <c r="I2253" i="6" s="1"/>
  <c r="H2248" i="6"/>
  <c r="H2246" i="6"/>
  <c r="H2244" i="6"/>
  <c r="I2244" i="6" s="1"/>
  <c r="I2245" i="6" s="1"/>
  <c r="H2242" i="6"/>
  <c r="I2242" i="6" s="1"/>
  <c r="I2243" i="6" s="1"/>
  <c r="H2238" i="6"/>
  <c r="I2238" i="6" s="1"/>
  <c r="H2237" i="6"/>
  <c r="I2237" i="6" s="1"/>
  <c r="H2236" i="6"/>
  <c r="I2236" i="6" s="1"/>
  <c r="H2231" i="6"/>
  <c r="H2229" i="6"/>
  <c r="H2227" i="6"/>
  <c r="I2227" i="6" s="1"/>
  <c r="I2228" i="6" s="1"/>
  <c r="H2225" i="6"/>
  <c r="I2225" i="6" s="1"/>
  <c r="I2226" i="6" s="1"/>
  <c r="H2221" i="6"/>
  <c r="I2221" i="6" s="1"/>
  <c r="H2220" i="6"/>
  <c r="I2220" i="6" s="1"/>
  <c r="H2219" i="6"/>
  <c r="I2219" i="6" s="1"/>
  <c r="H2214" i="6"/>
  <c r="H2212" i="6"/>
  <c r="I2211" i="6"/>
  <c r="H2208" i="6"/>
  <c r="I2208" i="6" s="1"/>
  <c r="I2209" i="6" s="1"/>
  <c r="H2204" i="6"/>
  <c r="I2204" i="6" s="1"/>
  <c r="H2202" i="6"/>
  <c r="I2202" i="6" s="1"/>
  <c r="H2197" i="6"/>
  <c r="H2195" i="6"/>
  <c r="I2194" i="6"/>
  <c r="H2190" i="6"/>
  <c r="I2190" i="6" s="1"/>
  <c r="H2189" i="6"/>
  <c r="I2189" i="6" s="1"/>
  <c r="H2185" i="6"/>
  <c r="I2185" i="6" s="1"/>
  <c r="H2183" i="6"/>
  <c r="I2183" i="6" s="1"/>
  <c r="H2178" i="6"/>
  <c r="H2176" i="6"/>
  <c r="H2174" i="6"/>
  <c r="I2174" i="6" s="1"/>
  <c r="I2175" i="6" s="1"/>
  <c r="H2171" i="6"/>
  <c r="I2171" i="6" s="1"/>
  <c r="H2170" i="6"/>
  <c r="I2170" i="6" s="1"/>
  <c r="H2169" i="6"/>
  <c r="I2169" i="6" s="1"/>
  <c r="H2165" i="6"/>
  <c r="I2165" i="6" s="1"/>
  <c r="H2163" i="6"/>
  <c r="I2163" i="6" s="1"/>
  <c r="H2158" i="6"/>
  <c r="H2156" i="6"/>
  <c r="I2155" i="6"/>
  <c r="H2152" i="6"/>
  <c r="I2152" i="6" s="1"/>
  <c r="H2151" i="6"/>
  <c r="I2151" i="6" s="1"/>
  <c r="H2150" i="6"/>
  <c r="I2150" i="6" s="1"/>
  <c r="H2146" i="6"/>
  <c r="I2146" i="6" s="1"/>
  <c r="H2144" i="6"/>
  <c r="I2144" i="6" s="1"/>
  <c r="H2139" i="6"/>
  <c r="H2137" i="6"/>
  <c r="I2135" i="6"/>
  <c r="I2136" i="6" s="1"/>
  <c r="H2132" i="6"/>
  <c r="I2132" i="6" s="1"/>
  <c r="H2131" i="6"/>
  <c r="I2131" i="6" s="1"/>
  <c r="H2127" i="6"/>
  <c r="I2127" i="6" s="1"/>
  <c r="H2125" i="6"/>
  <c r="I2125" i="6" s="1"/>
  <c r="H2120" i="6"/>
  <c r="H2118" i="6"/>
  <c r="I2117" i="6"/>
  <c r="H2114" i="6"/>
  <c r="I2114" i="6" s="1"/>
  <c r="I2115" i="6" s="1"/>
  <c r="H2111" i="6"/>
  <c r="I2111" i="6" s="1"/>
  <c r="H2110" i="6"/>
  <c r="I2110" i="6" s="1"/>
  <c r="H2108" i="6"/>
  <c r="I2108" i="6" s="1"/>
  <c r="H2103" i="6"/>
  <c r="H2101" i="6"/>
  <c r="H2099" i="6"/>
  <c r="I2099" i="6" s="1"/>
  <c r="I2100" i="6" s="1"/>
  <c r="H2097" i="6"/>
  <c r="I2097" i="6" s="1"/>
  <c r="I2098" i="6" s="1"/>
  <c r="H2093" i="6"/>
  <c r="I2093" i="6" s="1"/>
  <c r="H2091" i="6"/>
  <c r="I2091" i="6" s="1"/>
  <c r="H2085" i="6"/>
  <c r="H2083" i="6"/>
  <c r="H2081" i="6"/>
  <c r="I2081" i="6" s="1"/>
  <c r="I2082" i="6" s="1"/>
  <c r="I2080" i="6"/>
  <c r="H2075" i="6"/>
  <c r="I2075" i="6" s="1"/>
  <c r="H2074" i="6"/>
  <c r="I2074" i="6" s="1"/>
  <c r="H2069" i="6"/>
  <c r="H2067" i="6"/>
  <c r="H2065" i="6"/>
  <c r="I2065" i="6" s="1"/>
  <c r="I2066" i="6" s="1"/>
  <c r="H2063" i="6"/>
  <c r="I2063" i="6" s="1"/>
  <c r="H2062" i="6"/>
  <c r="I2062" i="6" s="1"/>
  <c r="H2061" i="6"/>
  <c r="I2061" i="6" s="1"/>
  <c r="H2057" i="6"/>
  <c r="I2057" i="6" s="1"/>
  <c r="H2056" i="6"/>
  <c r="I2056" i="6" s="1"/>
  <c r="H2055" i="6"/>
  <c r="I2055" i="6" s="1"/>
  <c r="H2050" i="6"/>
  <c r="H2048" i="6"/>
  <c r="H2046" i="6"/>
  <c r="I2046" i="6" s="1"/>
  <c r="I2047" i="6" s="1"/>
  <c r="H2044" i="6"/>
  <c r="I2044" i="6" s="1"/>
  <c r="I2045" i="6" s="1"/>
  <c r="H2041" i="6"/>
  <c r="I2041" i="6" s="1"/>
  <c r="H2035" i="6"/>
  <c r="H2033" i="6"/>
  <c r="I2032" i="6"/>
  <c r="H2029" i="6"/>
  <c r="I2029" i="6" s="1"/>
  <c r="H2028" i="6"/>
  <c r="I2028" i="6" s="1"/>
  <c r="H2027" i="6"/>
  <c r="I2027" i="6" s="1"/>
  <c r="I2026" i="6"/>
  <c r="H2021" i="6"/>
  <c r="H2019" i="6"/>
  <c r="I2018" i="6"/>
  <c r="H2015" i="6"/>
  <c r="I2015" i="6" s="1"/>
  <c r="H2014" i="6"/>
  <c r="I2014" i="6" s="1"/>
  <c r="H2013" i="6"/>
  <c r="I2013" i="6" s="1"/>
  <c r="H2012" i="6"/>
  <c r="I2012" i="6" s="1"/>
  <c r="I2011" i="6"/>
  <c r="H2006" i="6"/>
  <c r="H2004" i="6"/>
  <c r="H2002" i="6"/>
  <c r="I2002" i="6" s="1"/>
  <c r="I2003" i="6" s="1"/>
  <c r="H1999" i="6"/>
  <c r="I1999" i="6" s="1"/>
  <c r="I2000" i="6" s="1"/>
  <c r="H1993" i="6"/>
  <c r="I1993" i="6" s="1"/>
  <c r="H1988" i="6"/>
  <c r="H1986" i="6"/>
  <c r="H1984" i="6"/>
  <c r="I1984" i="6" s="1"/>
  <c r="I1985" i="6" s="1"/>
  <c r="H1981" i="6"/>
  <c r="I1981" i="6" s="1"/>
  <c r="I1982" i="6" s="1"/>
  <c r="H1975" i="6"/>
  <c r="I1975" i="6" s="1"/>
  <c r="H1970" i="6"/>
  <c r="H1968" i="6"/>
  <c r="H1966" i="6"/>
  <c r="I1966" i="6" s="1"/>
  <c r="I1967" i="6" s="1"/>
  <c r="H1963" i="6"/>
  <c r="I1963" i="6" s="1"/>
  <c r="I1964" i="6" s="1"/>
  <c r="H1957" i="6"/>
  <c r="I1957" i="6" s="1"/>
  <c r="H1921" i="6"/>
  <c r="H1919" i="6"/>
  <c r="H1917" i="6"/>
  <c r="I1917" i="6" s="1"/>
  <c r="H1916" i="6"/>
  <c r="I1916" i="6" s="1"/>
  <c r="H1913" i="6"/>
  <c r="I1913" i="6" s="1"/>
  <c r="I1914" i="6" s="1"/>
  <c r="H1910" i="6"/>
  <c r="I1910" i="6" s="1"/>
  <c r="H1909" i="6"/>
  <c r="I1909" i="6" s="1"/>
  <c r="H1907" i="6"/>
  <c r="I1907" i="6" s="1"/>
  <c r="H1906" i="6"/>
  <c r="I1906" i="6" s="1"/>
  <c r="H1868" i="6"/>
  <c r="H1866" i="6"/>
  <c r="H1864" i="6"/>
  <c r="I1864" i="6" s="1"/>
  <c r="H1863" i="6"/>
  <c r="I1863" i="6" s="1"/>
  <c r="H1860" i="6"/>
  <c r="I1860" i="6" s="1"/>
  <c r="I1861" i="6" s="1"/>
  <c r="H1856" i="6"/>
  <c r="I1856" i="6" s="1"/>
  <c r="H1853" i="6"/>
  <c r="I1853" i="6" s="1"/>
  <c r="H1815" i="6"/>
  <c r="H1813" i="6"/>
  <c r="I1811" i="6"/>
  <c r="I1810" i="6"/>
  <c r="H1807" i="6"/>
  <c r="I1807" i="6" s="1"/>
  <c r="I1808" i="6" s="1"/>
  <c r="H1803" i="6"/>
  <c r="I1803" i="6" s="1"/>
  <c r="H1801" i="6"/>
  <c r="I1801" i="6" s="1"/>
  <c r="H1800" i="6"/>
  <c r="I1800" i="6" s="1"/>
  <c r="H1793" i="6"/>
  <c r="H1791" i="6"/>
  <c r="I1790" i="6"/>
  <c r="I1788" i="6"/>
  <c r="H1784" i="6"/>
  <c r="I1784" i="6" s="1"/>
  <c r="H1783" i="6"/>
  <c r="I1783" i="6" s="1"/>
  <c r="H1781" i="6"/>
  <c r="I1781" i="6" s="1"/>
  <c r="H1776" i="6"/>
  <c r="H1774" i="6"/>
  <c r="H1772" i="6"/>
  <c r="I1772" i="6" s="1"/>
  <c r="I1773" i="6" s="1"/>
  <c r="I1771" i="6"/>
  <c r="H1767" i="6"/>
  <c r="I1767" i="6" s="1"/>
  <c r="H1766" i="6"/>
  <c r="I1766" i="6" s="1"/>
  <c r="H1764" i="6"/>
  <c r="I1764" i="6" s="1"/>
  <c r="H1759" i="6"/>
  <c r="H1757" i="6"/>
  <c r="H1755" i="6"/>
  <c r="I1755" i="6" s="1"/>
  <c r="I1756" i="6" s="1"/>
  <c r="I1754" i="6"/>
  <c r="H1750" i="6"/>
  <c r="I1750" i="6" s="1"/>
  <c r="H1749" i="6"/>
  <c r="I1749" i="6" s="1"/>
  <c r="H1747" i="6"/>
  <c r="I1747" i="6" s="1"/>
  <c r="H1742" i="6"/>
  <c r="H1740" i="6"/>
  <c r="H1738" i="6"/>
  <c r="I1738" i="6" s="1"/>
  <c r="I1739" i="6" s="1"/>
  <c r="I1737" i="6"/>
  <c r="H1733" i="6"/>
  <c r="I1733" i="6" s="1"/>
  <c r="H1732" i="6"/>
  <c r="I1732" i="6" s="1"/>
  <c r="H1727" i="6"/>
  <c r="H1725" i="6"/>
  <c r="H1723" i="6"/>
  <c r="I1723" i="6" s="1"/>
  <c r="I1724" i="6" s="1"/>
  <c r="I1722" i="6"/>
  <c r="H1718" i="6"/>
  <c r="I1718" i="6" s="1"/>
  <c r="H1717" i="6"/>
  <c r="I1717" i="6" s="1"/>
  <c r="H1712" i="6"/>
  <c r="H1710" i="6"/>
  <c r="H1708" i="6"/>
  <c r="I1708" i="6" s="1"/>
  <c r="I1709" i="6" s="1"/>
  <c r="I1707" i="6"/>
  <c r="H1703" i="6"/>
  <c r="I1703" i="6" s="1"/>
  <c r="H1702" i="6"/>
  <c r="I1702" i="6" s="1"/>
  <c r="H1697" i="6"/>
  <c r="H1695" i="6"/>
  <c r="H1693" i="6"/>
  <c r="I1693" i="6" s="1"/>
  <c r="I1694" i="6" s="1"/>
  <c r="H1691" i="6"/>
  <c r="I1691" i="6" s="1"/>
  <c r="H1690" i="6"/>
  <c r="I1690" i="6" s="1"/>
  <c r="H1689" i="6"/>
  <c r="I1689" i="6" s="1"/>
  <c r="H1688" i="6"/>
  <c r="I1688" i="6" s="1"/>
  <c r="H1687" i="6"/>
  <c r="I1687" i="6" s="1"/>
  <c r="H1683" i="6"/>
  <c r="I1683" i="6" s="1"/>
  <c r="H1681" i="6"/>
  <c r="I1681" i="6" s="1"/>
  <c r="H1676" i="6"/>
  <c r="H1674" i="6"/>
  <c r="H1672" i="6"/>
  <c r="I1672" i="6" s="1"/>
  <c r="I1673" i="6" s="1"/>
  <c r="H1670" i="6"/>
  <c r="I1670" i="6" s="1"/>
  <c r="H1669" i="6"/>
  <c r="I1669" i="6" s="1"/>
  <c r="H1668" i="6"/>
  <c r="I1668" i="6" s="1"/>
  <c r="H1667" i="6"/>
  <c r="I1667" i="6" s="1"/>
  <c r="H1663" i="6"/>
  <c r="I1663" i="6" s="1"/>
  <c r="H1661" i="6"/>
  <c r="I1661" i="6" s="1"/>
  <c r="H1656" i="6"/>
  <c r="H1654" i="6"/>
  <c r="H1652" i="6"/>
  <c r="I1652" i="6" s="1"/>
  <c r="I1653" i="6" s="1"/>
  <c r="H1650" i="6"/>
  <c r="I1650" i="6" s="1"/>
  <c r="H1649" i="6"/>
  <c r="I1649" i="6" s="1"/>
  <c r="H1648" i="6"/>
  <c r="I1648" i="6" s="1"/>
  <c r="H1647" i="6"/>
  <c r="I1647" i="6" s="1"/>
  <c r="H1646" i="6"/>
  <c r="I1646" i="6" s="1"/>
  <c r="H1645" i="6"/>
  <c r="I1645" i="6" s="1"/>
  <c r="H1641" i="6"/>
  <c r="I1641" i="6" s="1"/>
  <c r="H1639" i="6"/>
  <c r="I1639" i="6" s="1"/>
  <c r="H1634" i="6"/>
  <c r="H1632" i="6"/>
  <c r="H1630" i="6"/>
  <c r="I1630" i="6" s="1"/>
  <c r="I1631" i="6" s="1"/>
  <c r="H1628" i="6"/>
  <c r="I1628" i="6" s="1"/>
  <c r="H1627" i="6"/>
  <c r="I1627" i="6" s="1"/>
  <c r="H1626" i="6"/>
  <c r="I1626" i="6" s="1"/>
  <c r="H1625" i="6"/>
  <c r="I1625" i="6" s="1"/>
  <c r="H1621" i="6"/>
  <c r="I1621" i="6" s="1"/>
  <c r="H1620" i="6"/>
  <c r="I1620" i="6" s="1"/>
  <c r="H1619" i="6"/>
  <c r="I1619" i="6" s="1"/>
  <c r="H1614" i="6"/>
  <c r="H1612" i="6"/>
  <c r="H1610" i="6"/>
  <c r="I1610" i="6" s="1"/>
  <c r="I1611" i="6" s="1"/>
  <c r="H1608" i="6"/>
  <c r="I1608" i="6" s="1"/>
  <c r="H1607" i="6"/>
  <c r="I1607" i="6" s="1"/>
  <c r="H1606" i="6"/>
  <c r="I1606" i="6" s="1"/>
  <c r="H1605" i="6"/>
  <c r="I1605" i="6" s="1"/>
  <c r="H1601" i="6"/>
  <c r="I1601" i="6" s="1"/>
  <c r="H1599" i="6"/>
  <c r="I1599" i="6" s="1"/>
  <c r="H1594" i="6"/>
  <c r="H1592" i="6"/>
  <c r="H1590" i="6"/>
  <c r="I1590" i="6" s="1"/>
  <c r="I1591" i="6" s="1"/>
  <c r="H1588" i="6"/>
  <c r="I1588" i="6" s="1"/>
  <c r="H1587" i="6"/>
  <c r="I1587" i="6" s="1"/>
  <c r="H1586" i="6"/>
  <c r="I1586" i="6" s="1"/>
  <c r="H1585" i="6"/>
  <c r="I1585" i="6" s="1"/>
  <c r="H1581" i="6"/>
  <c r="I1581" i="6" s="1"/>
  <c r="H1579" i="6"/>
  <c r="I1579" i="6" s="1"/>
  <c r="H1574" i="6"/>
  <c r="H1572" i="6"/>
  <c r="H1570" i="6"/>
  <c r="I1570" i="6" s="1"/>
  <c r="I1571" i="6" s="1"/>
  <c r="H1568" i="6"/>
  <c r="I1568" i="6" s="1"/>
  <c r="H1567" i="6"/>
  <c r="I1567" i="6" s="1"/>
  <c r="H1566" i="6"/>
  <c r="I1566" i="6" s="1"/>
  <c r="H1565" i="6"/>
  <c r="I1565" i="6" s="1"/>
  <c r="H1561" i="6"/>
  <c r="I1561" i="6" s="1"/>
  <c r="H1559" i="6"/>
  <c r="I1559" i="6" s="1"/>
  <c r="H1553" i="6"/>
  <c r="H1551" i="6"/>
  <c r="H1549" i="6"/>
  <c r="I1549" i="6" s="1"/>
  <c r="I1550" i="6" s="1"/>
  <c r="H1547" i="6"/>
  <c r="I1547" i="6" s="1"/>
  <c r="H1546" i="6"/>
  <c r="I1546" i="6" s="1"/>
  <c r="H1545" i="6"/>
  <c r="I1545" i="6" s="1"/>
  <c r="H1544" i="6"/>
  <c r="I1544" i="6" s="1"/>
  <c r="H1543" i="6"/>
  <c r="I1543" i="6" s="1"/>
  <c r="H1542" i="6"/>
  <c r="I1542" i="6" s="1"/>
  <c r="H1541" i="6"/>
  <c r="I1541" i="6" s="1"/>
  <c r="H1540" i="6"/>
  <c r="I1540" i="6" s="1"/>
  <c r="H1536" i="6"/>
  <c r="I1536" i="6" s="1"/>
  <c r="H1534" i="6"/>
  <c r="I1534" i="6" s="1"/>
  <c r="H1532" i="6"/>
  <c r="I1532" i="6" s="1"/>
  <c r="H1527" i="6"/>
  <c r="H1525" i="6"/>
  <c r="H1523" i="6"/>
  <c r="I1523" i="6" s="1"/>
  <c r="I1524" i="6" s="1"/>
  <c r="H1521" i="6"/>
  <c r="I1521" i="6" s="1"/>
  <c r="H1520" i="6"/>
  <c r="I1520" i="6" s="1"/>
  <c r="H1519" i="6"/>
  <c r="I1519" i="6" s="1"/>
  <c r="H1518" i="6"/>
  <c r="I1518" i="6" s="1"/>
  <c r="H1517" i="6"/>
  <c r="I1517" i="6" s="1"/>
  <c r="H1516" i="6"/>
  <c r="I1516" i="6" s="1"/>
  <c r="H1515" i="6"/>
  <c r="I1515" i="6" s="1"/>
  <c r="H1514" i="6"/>
  <c r="I1514" i="6" s="1"/>
  <c r="H1510" i="6"/>
  <c r="I1510" i="6" s="1"/>
  <c r="H1508" i="6"/>
  <c r="I1508" i="6" s="1"/>
  <c r="H1507" i="6"/>
  <c r="I1507" i="6" s="1"/>
  <c r="H1506" i="6"/>
  <c r="I1506" i="6" s="1"/>
  <c r="H1501" i="6"/>
  <c r="H1499" i="6"/>
  <c r="H1497" i="6"/>
  <c r="I1497" i="6" s="1"/>
  <c r="I1498" i="6" s="1"/>
  <c r="H1495" i="6"/>
  <c r="I1495" i="6" s="1"/>
  <c r="H1494" i="6"/>
  <c r="I1494" i="6" s="1"/>
  <c r="H1493" i="6"/>
  <c r="I1493" i="6" s="1"/>
  <c r="H1492" i="6"/>
  <c r="I1492" i="6" s="1"/>
  <c r="H1491" i="6"/>
  <c r="I1491" i="6" s="1"/>
  <c r="H1490" i="6"/>
  <c r="I1490" i="6" s="1"/>
  <c r="H1489" i="6"/>
  <c r="I1489" i="6" s="1"/>
  <c r="H1488" i="6"/>
  <c r="I1488" i="6" s="1"/>
  <c r="H1487" i="6"/>
  <c r="I1487" i="6" s="1"/>
  <c r="H1486" i="6"/>
  <c r="I1486" i="6" s="1"/>
  <c r="H1485" i="6"/>
  <c r="I1485" i="6" s="1"/>
  <c r="H1481" i="6"/>
  <c r="I1481" i="6" s="1"/>
  <c r="H1479" i="6"/>
  <c r="I1479" i="6" s="1"/>
  <c r="H1478" i="6"/>
  <c r="I1478" i="6" s="1"/>
  <c r="H1477" i="6"/>
  <c r="I1477" i="6" s="1"/>
  <c r="H1472" i="6"/>
  <c r="H1470" i="6"/>
  <c r="H1468" i="6"/>
  <c r="I1468" i="6" s="1"/>
  <c r="I1469" i="6" s="1"/>
  <c r="H1466" i="6"/>
  <c r="I1466" i="6" s="1"/>
  <c r="H1465" i="6"/>
  <c r="I1465" i="6" s="1"/>
  <c r="H1464" i="6"/>
  <c r="I1464" i="6" s="1"/>
  <c r="H1463" i="6"/>
  <c r="I1463" i="6" s="1"/>
  <c r="H1462" i="6"/>
  <c r="I1462" i="6" s="1"/>
  <c r="H1461" i="6"/>
  <c r="I1461" i="6" s="1"/>
  <c r="H1460" i="6"/>
  <c r="I1460" i="6" s="1"/>
  <c r="H1459" i="6"/>
  <c r="I1459" i="6" s="1"/>
  <c r="H1458" i="6"/>
  <c r="I1458" i="6" s="1"/>
  <c r="H1457" i="6"/>
  <c r="I1457" i="6" s="1"/>
  <c r="H1456" i="6"/>
  <c r="I1456" i="6" s="1"/>
  <c r="H1452" i="6"/>
  <c r="I1452" i="6" s="1"/>
  <c r="H1450" i="6"/>
  <c r="I1450" i="6" s="1"/>
  <c r="H1449" i="6"/>
  <c r="I1449" i="6" s="1"/>
  <c r="H1448" i="6"/>
  <c r="I1448" i="6" s="1"/>
  <c r="H1443" i="6"/>
  <c r="H1441" i="6"/>
  <c r="H1439" i="6"/>
  <c r="I1439" i="6" s="1"/>
  <c r="I1440" i="6" s="1"/>
  <c r="H1437" i="6"/>
  <c r="I1437" i="6" s="1"/>
  <c r="H1436" i="6"/>
  <c r="I1436" i="6" s="1"/>
  <c r="H1435" i="6"/>
  <c r="I1435" i="6" s="1"/>
  <c r="H1434" i="6"/>
  <c r="I1434" i="6" s="1"/>
  <c r="H1433" i="6"/>
  <c r="I1433" i="6" s="1"/>
  <c r="H1432" i="6"/>
  <c r="I1432" i="6" s="1"/>
  <c r="H1431" i="6"/>
  <c r="I1431" i="6" s="1"/>
  <c r="H1430" i="6"/>
  <c r="I1430" i="6" s="1"/>
  <c r="H1429" i="6"/>
  <c r="I1429" i="6" s="1"/>
  <c r="H1428" i="6"/>
  <c r="I1428" i="6" s="1"/>
  <c r="H1427" i="6"/>
  <c r="I1427" i="6" s="1"/>
  <c r="H1423" i="6"/>
  <c r="I1423" i="6" s="1"/>
  <c r="H1421" i="6"/>
  <c r="I1421" i="6" s="1"/>
  <c r="H1420" i="6"/>
  <c r="I1420" i="6" s="1"/>
  <c r="H1419" i="6"/>
  <c r="I1419" i="6" s="1"/>
  <c r="H1414" i="6"/>
  <c r="H1412" i="6"/>
  <c r="H1410" i="6"/>
  <c r="I1410" i="6" s="1"/>
  <c r="I1411" i="6" s="1"/>
  <c r="H1408" i="6"/>
  <c r="I1408" i="6" s="1"/>
  <c r="H1407" i="6"/>
  <c r="I1407" i="6" s="1"/>
  <c r="H1406" i="6"/>
  <c r="I1406" i="6" s="1"/>
  <c r="H1405" i="6"/>
  <c r="I1405" i="6" s="1"/>
  <c r="H1404" i="6"/>
  <c r="I1404" i="6" s="1"/>
  <c r="H1403" i="6"/>
  <c r="I1403" i="6" s="1"/>
  <c r="H1402" i="6"/>
  <c r="I1402" i="6" s="1"/>
  <c r="H1401" i="6"/>
  <c r="I1401" i="6" s="1"/>
  <c r="H1400" i="6"/>
  <c r="I1400" i="6" s="1"/>
  <c r="H1399" i="6"/>
  <c r="I1399" i="6" s="1"/>
  <c r="H1398" i="6"/>
  <c r="I1398" i="6" s="1"/>
  <c r="H1394" i="6"/>
  <c r="I1394" i="6" s="1"/>
  <c r="H1392" i="6"/>
  <c r="I1392" i="6" s="1"/>
  <c r="H1391" i="6"/>
  <c r="I1391" i="6" s="1"/>
  <c r="H1390" i="6"/>
  <c r="I1390" i="6" s="1"/>
  <c r="H1385" i="6"/>
  <c r="H1383" i="6"/>
  <c r="H1381" i="6"/>
  <c r="I1381" i="6" s="1"/>
  <c r="I1382" i="6" s="1"/>
  <c r="H1379" i="6"/>
  <c r="I1379" i="6" s="1"/>
  <c r="H1378" i="6"/>
  <c r="I1378" i="6" s="1"/>
  <c r="H1377" i="6"/>
  <c r="I1377" i="6" s="1"/>
  <c r="H1376" i="6"/>
  <c r="I1376" i="6" s="1"/>
  <c r="H1375" i="6"/>
  <c r="I1375" i="6" s="1"/>
  <c r="H1374" i="6"/>
  <c r="I1374" i="6" s="1"/>
  <c r="H1373" i="6"/>
  <c r="I1373" i="6" s="1"/>
  <c r="H1372" i="6"/>
  <c r="I1372" i="6" s="1"/>
  <c r="H1371" i="6"/>
  <c r="I1371" i="6" s="1"/>
  <c r="H1370" i="6"/>
  <c r="I1370" i="6" s="1"/>
  <c r="H1369" i="6"/>
  <c r="I1369" i="6" s="1"/>
  <c r="H1365" i="6"/>
  <c r="I1365" i="6" s="1"/>
  <c r="H1363" i="6"/>
  <c r="I1363" i="6" s="1"/>
  <c r="H1362" i="6"/>
  <c r="I1362" i="6" s="1"/>
  <c r="H1361" i="6"/>
  <c r="I1361" i="6" s="1"/>
  <c r="H1356" i="6"/>
  <c r="H1354" i="6"/>
  <c r="H1352" i="6"/>
  <c r="I1352" i="6" s="1"/>
  <c r="I1353" i="6" s="1"/>
  <c r="H1350" i="6"/>
  <c r="I1350" i="6" s="1"/>
  <c r="H1349" i="6"/>
  <c r="I1349" i="6" s="1"/>
  <c r="H1348" i="6"/>
  <c r="I1348" i="6" s="1"/>
  <c r="H1347" i="6"/>
  <c r="I1347" i="6" s="1"/>
  <c r="H1346" i="6"/>
  <c r="I1346" i="6" s="1"/>
  <c r="H1345" i="6"/>
  <c r="I1345" i="6" s="1"/>
  <c r="H1344" i="6"/>
  <c r="I1344" i="6" s="1"/>
  <c r="H1343" i="6"/>
  <c r="I1343" i="6" s="1"/>
  <c r="H1340" i="6"/>
  <c r="I1340" i="6" s="1"/>
  <c r="H1339" i="6"/>
  <c r="I1339" i="6" s="1"/>
  <c r="H1337" i="6"/>
  <c r="I1337" i="6" s="1"/>
  <c r="H1335" i="6"/>
  <c r="I1335" i="6" s="1"/>
  <c r="H1330" i="6"/>
  <c r="H1328" i="6"/>
  <c r="H1326" i="6"/>
  <c r="I1326" i="6" s="1"/>
  <c r="I1327" i="6" s="1"/>
  <c r="H1324" i="6"/>
  <c r="I1324" i="6" s="1"/>
  <c r="H1323" i="6"/>
  <c r="I1323" i="6" s="1"/>
  <c r="H1322" i="6"/>
  <c r="I1322" i="6" s="1"/>
  <c r="H1321" i="6"/>
  <c r="I1321" i="6" s="1"/>
  <c r="H1320" i="6"/>
  <c r="I1320" i="6" s="1"/>
  <c r="H1319" i="6"/>
  <c r="I1319" i="6" s="1"/>
  <c r="H1318" i="6"/>
  <c r="I1318" i="6" s="1"/>
  <c r="H1317" i="6"/>
  <c r="I1317" i="6" s="1"/>
  <c r="H1313" i="6"/>
  <c r="I1313" i="6" s="1"/>
  <c r="H1311" i="6"/>
  <c r="I1311" i="6" s="1"/>
  <c r="H1309" i="6"/>
  <c r="I1309" i="6" s="1"/>
  <c r="H1304" i="6"/>
  <c r="H1302" i="6"/>
  <c r="H1300" i="6"/>
  <c r="I1300" i="6" s="1"/>
  <c r="I1301" i="6" s="1"/>
  <c r="H1298" i="6"/>
  <c r="I1298" i="6" s="1"/>
  <c r="H1297" i="6"/>
  <c r="I1297" i="6" s="1"/>
  <c r="H1296" i="6"/>
  <c r="I1296" i="6" s="1"/>
  <c r="H1292" i="6"/>
  <c r="I1292" i="6" s="1"/>
  <c r="H1291" i="6"/>
  <c r="I1291" i="6" s="1"/>
  <c r="H1290" i="6"/>
  <c r="I1290" i="6" s="1"/>
  <c r="H1285" i="6"/>
  <c r="H1283" i="6"/>
  <c r="H1281" i="6"/>
  <c r="I1281" i="6" s="1"/>
  <c r="I1282" i="6" s="1"/>
  <c r="H1279" i="6"/>
  <c r="I1279" i="6" s="1"/>
  <c r="H1278" i="6"/>
  <c r="I1278" i="6" s="1"/>
  <c r="H1277" i="6"/>
  <c r="I1277" i="6" s="1"/>
  <c r="H1276" i="6"/>
  <c r="I1276" i="6" s="1"/>
  <c r="H1275" i="6"/>
  <c r="I1275" i="6" s="1"/>
  <c r="H1274" i="6"/>
  <c r="I1274" i="6" s="1"/>
  <c r="H1270" i="6"/>
  <c r="I1270" i="6" s="1"/>
  <c r="H1269" i="6"/>
  <c r="I1269" i="6" s="1"/>
  <c r="H1268" i="6"/>
  <c r="I1268" i="6" s="1"/>
  <c r="H1263" i="6"/>
  <c r="H1261" i="6"/>
  <c r="H1259" i="6"/>
  <c r="I1259" i="6" s="1"/>
  <c r="I1260" i="6" s="1"/>
  <c r="H1257" i="6"/>
  <c r="I1257" i="6" s="1"/>
  <c r="H1256" i="6"/>
  <c r="I1256" i="6" s="1"/>
  <c r="H1255" i="6"/>
  <c r="I1255" i="6" s="1"/>
  <c r="H1254" i="6"/>
  <c r="I1254" i="6" s="1"/>
  <c r="H1253" i="6"/>
  <c r="I1253" i="6" s="1"/>
  <c r="H1252" i="6"/>
  <c r="I1252" i="6" s="1"/>
  <c r="H1251" i="6"/>
  <c r="I1251" i="6" s="1"/>
  <c r="H1247" i="6"/>
  <c r="I1247" i="6" s="1"/>
  <c r="H1246" i="6"/>
  <c r="I1246" i="6" s="1"/>
  <c r="H1245" i="6"/>
  <c r="I1245" i="6" s="1"/>
  <c r="H1240" i="6"/>
  <c r="H1238" i="6"/>
  <c r="H1236" i="6"/>
  <c r="I1236" i="6" s="1"/>
  <c r="I1237" i="6" s="1"/>
  <c r="H1234" i="6"/>
  <c r="I1234" i="6" s="1"/>
  <c r="H1233" i="6"/>
  <c r="I1233" i="6" s="1"/>
  <c r="H1232" i="6"/>
  <c r="I1232" i="6" s="1"/>
  <c r="H1231" i="6"/>
  <c r="I1231" i="6" s="1"/>
  <c r="H1230" i="6"/>
  <c r="I1230" i="6" s="1"/>
  <c r="H1229" i="6"/>
  <c r="I1229" i="6" s="1"/>
  <c r="H1225" i="6"/>
  <c r="I1225" i="6" s="1"/>
  <c r="H1224" i="6"/>
  <c r="I1224" i="6" s="1"/>
  <c r="H1223" i="6"/>
  <c r="I1223" i="6" s="1"/>
  <c r="H1218" i="6"/>
  <c r="H1216" i="6"/>
  <c r="H1214" i="6"/>
  <c r="I1214" i="6" s="1"/>
  <c r="I1215" i="6" s="1"/>
  <c r="H1212" i="6"/>
  <c r="I1212" i="6" s="1"/>
  <c r="H1211" i="6"/>
  <c r="I1211" i="6" s="1"/>
  <c r="H1210" i="6"/>
  <c r="I1210" i="6" s="1"/>
  <c r="H1209" i="6"/>
  <c r="I1209" i="6" s="1"/>
  <c r="H1208" i="6"/>
  <c r="I1208" i="6" s="1"/>
  <c r="H1207" i="6"/>
  <c r="I1207" i="6" s="1"/>
  <c r="H1203" i="6"/>
  <c r="I1203" i="6" s="1"/>
  <c r="H1202" i="6"/>
  <c r="I1202" i="6" s="1"/>
  <c r="H1201" i="6"/>
  <c r="I1201" i="6" s="1"/>
  <c r="H1196" i="6"/>
  <c r="H1194" i="6"/>
  <c r="H1192" i="6"/>
  <c r="I1192" i="6" s="1"/>
  <c r="I1193" i="6" s="1"/>
  <c r="H1190" i="6"/>
  <c r="I1190" i="6" s="1"/>
  <c r="H1189" i="6"/>
  <c r="I1189" i="6" s="1"/>
  <c r="H1188" i="6"/>
  <c r="I1188" i="6" s="1"/>
  <c r="H1187" i="6"/>
  <c r="I1187" i="6" s="1"/>
  <c r="H1186" i="6"/>
  <c r="I1186" i="6" s="1"/>
  <c r="H1185" i="6"/>
  <c r="I1185" i="6" s="1"/>
  <c r="H1181" i="6"/>
  <c r="I1181" i="6" s="1"/>
  <c r="H1180" i="6"/>
  <c r="I1180" i="6" s="1"/>
  <c r="H1179" i="6"/>
  <c r="I1179" i="6" s="1"/>
  <c r="H1174" i="6"/>
  <c r="H1172" i="6"/>
  <c r="H1170" i="6"/>
  <c r="I1170" i="6" s="1"/>
  <c r="I1171" i="6" s="1"/>
  <c r="H1168" i="6"/>
  <c r="I1168" i="6" s="1"/>
  <c r="H1167" i="6"/>
  <c r="I1167" i="6" s="1"/>
  <c r="H1166" i="6"/>
  <c r="I1166" i="6" s="1"/>
  <c r="H1162" i="6"/>
  <c r="I1162" i="6" s="1"/>
  <c r="H1161" i="6"/>
  <c r="I1161" i="6" s="1"/>
  <c r="H1160" i="6"/>
  <c r="I1160" i="6" s="1"/>
  <c r="H1155" i="6"/>
  <c r="H1153" i="6"/>
  <c r="H1151" i="6"/>
  <c r="I1151" i="6" s="1"/>
  <c r="I1152" i="6" s="1"/>
  <c r="H1149" i="6"/>
  <c r="I1149" i="6" s="1"/>
  <c r="H1148" i="6"/>
  <c r="I1148" i="6" s="1"/>
  <c r="H1147" i="6"/>
  <c r="I1147" i="6" s="1"/>
  <c r="H1143" i="6"/>
  <c r="I1143" i="6" s="1"/>
  <c r="H1142" i="6"/>
  <c r="I1142" i="6" s="1"/>
  <c r="H1141" i="6"/>
  <c r="I1141" i="6" s="1"/>
  <c r="H1136" i="6"/>
  <c r="H1134" i="6"/>
  <c r="H1132" i="6"/>
  <c r="I1132" i="6" s="1"/>
  <c r="I1133" i="6" s="1"/>
  <c r="H1130" i="6"/>
  <c r="I1130" i="6" s="1"/>
  <c r="H1129" i="6"/>
  <c r="I1129" i="6" s="1"/>
  <c r="H1125" i="6"/>
  <c r="I1125" i="6" s="1"/>
  <c r="H1123" i="6"/>
  <c r="I1123" i="6" s="1"/>
  <c r="H1118" i="6"/>
  <c r="H1116" i="6"/>
  <c r="H1114" i="6"/>
  <c r="I1114" i="6" s="1"/>
  <c r="I1115" i="6" s="1"/>
  <c r="H1112" i="6"/>
  <c r="I1112" i="6" s="1"/>
  <c r="H1111" i="6"/>
  <c r="I1111" i="6" s="1"/>
  <c r="H1107" i="6"/>
  <c r="I1107" i="6" s="1"/>
  <c r="H1105" i="6"/>
  <c r="I1105" i="6" s="1"/>
  <c r="H1100" i="6"/>
  <c r="H1098" i="6"/>
  <c r="H1096" i="6"/>
  <c r="I1096" i="6" s="1"/>
  <c r="I1097" i="6" s="1"/>
  <c r="H1094" i="6"/>
  <c r="I1094" i="6" s="1"/>
  <c r="H1093" i="6"/>
  <c r="I1093" i="6" s="1"/>
  <c r="H1090" i="6"/>
  <c r="I1090" i="6" s="1"/>
  <c r="H1089" i="6"/>
  <c r="I1089" i="6" s="1"/>
  <c r="H1087" i="6"/>
  <c r="I1087" i="6" s="1"/>
  <c r="H1082" i="6"/>
  <c r="H1080" i="6"/>
  <c r="H1078" i="6"/>
  <c r="I1078" i="6" s="1"/>
  <c r="I1079" i="6" s="1"/>
  <c r="H1076" i="6"/>
  <c r="I1076" i="6" s="1"/>
  <c r="I1077" i="6" s="1"/>
  <c r="H1072" i="6"/>
  <c r="I1072" i="6" s="1"/>
  <c r="H1071" i="6"/>
  <c r="I1071" i="6" s="1"/>
  <c r="H1070" i="6"/>
  <c r="I1070" i="6" s="1"/>
  <c r="H1065" i="6"/>
  <c r="H1063" i="6"/>
  <c r="H1061" i="6"/>
  <c r="I1061" i="6" s="1"/>
  <c r="I1062" i="6" s="1"/>
  <c r="H1059" i="6"/>
  <c r="I1059" i="6" s="1"/>
  <c r="I1060" i="6" s="1"/>
  <c r="H1055" i="6"/>
  <c r="I1055" i="6" s="1"/>
  <c r="H1053" i="6"/>
  <c r="I1053" i="6" s="1"/>
  <c r="H1048" i="6"/>
  <c r="H1046" i="6"/>
  <c r="H1044" i="6"/>
  <c r="I1044" i="6" s="1"/>
  <c r="I1045" i="6" s="1"/>
  <c r="H1042" i="6"/>
  <c r="I1042" i="6" s="1"/>
  <c r="I1043" i="6" s="1"/>
  <c r="H1038" i="6"/>
  <c r="I1038" i="6" s="1"/>
  <c r="H1036" i="6"/>
  <c r="I1036" i="6" s="1"/>
  <c r="H1031" i="6"/>
  <c r="H1029" i="6"/>
  <c r="H1027" i="6"/>
  <c r="I1027" i="6" s="1"/>
  <c r="I1028" i="6" s="1"/>
  <c r="H1025" i="6"/>
  <c r="I1025" i="6" s="1"/>
  <c r="H1024" i="6"/>
  <c r="I1024" i="6" s="1"/>
  <c r="H1023" i="6"/>
  <c r="I1023" i="6" s="1"/>
  <c r="H1022" i="6"/>
  <c r="I1022" i="6" s="1"/>
  <c r="H1018" i="6"/>
  <c r="I1018" i="6" s="1"/>
  <c r="H1016" i="6"/>
  <c r="I1016" i="6" s="1"/>
  <c r="H1009" i="6"/>
  <c r="H1007" i="6"/>
  <c r="H1005" i="6"/>
  <c r="I1005" i="6" s="1"/>
  <c r="I1006" i="6" s="1"/>
  <c r="H1003" i="6"/>
  <c r="I1003" i="6" s="1"/>
  <c r="H1002" i="6"/>
  <c r="I1002" i="6" s="1"/>
  <c r="H1001" i="6"/>
  <c r="I1001" i="6" s="1"/>
  <c r="H1000" i="6"/>
  <c r="I1000" i="6" s="1"/>
  <c r="H999" i="6"/>
  <c r="I999" i="6" s="1"/>
  <c r="H995" i="6"/>
  <c r="I995" i="6" s="1"/>
  <c r="H993" i="6"/>
  <c r="I993" i="6" s="1"/>
  <c r="H988" i="6"/>
  <c r="H986" i="6"/>
  <c r="H984" i="6"/>
  <c r="I984" i="6" s="1"/>
  <c r="I985" i="6" s="1"/>
  <c r="H982" i="6"/>
  <c r="I982" i="6" s="1"/>
  <c r="H981" i="6"/>
  <c r="I981" i="6" s="1"/>
  <c r="H980" i="6"/>
  <c r="I980" i="6" s="1"/>
  <c r="H979" i="6"/>
  <c r="I979" i="6" s="1"/>
  <c r="H975" i="6"/>
  <c r="I975" i="6" s="1"/>
  <c r="H973" i="6"/>
  <c r="I973" i="6" s="1"/>
  <c r="H968" i="6"/>
  <c r="H966" i="6"/>
  <c r="H964" i="6"/>
  <c r="I964" i="6" s="1"/>
  <c r="I965" i="6" s="1"/>
  <c r="H962" i="6"/>
  <c r="I962" i="6" s="1"/>
  <c r="H961" i="6"/>
  <c r="I961" i="6" s="1"/>
  <c r="H960" i="6"/>
  <c r="I960" i="6" s="1"/>
  <c r="H959" i="6"/>
  <c r="I959" i="6" s="1"/>
  <c r="H955" i="6"/>
  <c r="I955" i="6" s="1"/>
  <c r="H953" i="6"/>
  <c r="I953" i="6" s="1"/>
  <c r="H948" i="6"/>
  <c r="H946" i="6"/>
  <c r="H944" i="6"/>
  <c r="I944" i="6" s="1"/>
  <c r="I945" i="6" s="1"/>
  <c r="H942" i="6"/>
  <c r="I942" i="6" s="1"/>
  <c r="H941" i="6"/>
  <c r="I941" i="6" s="1"/>
  <c r="H940" i="6"/>
  <c r="I940" i="6" s="1"/>
  <c r="H939" i="6"/>
  <c r="I939" i="6" s="1"/>
  <c r="H935" i="6"/>
  <c r="I935" i="6" s="1"/>
  <c r="H933" i="6"/>
  <c r="I933" i="6" s="1"/>
  <c r="H928" i="6"/>
  <c r="H926" i="6"/>
  <c r="H924" i="6"/>
  <c r="I924" i="6" s="1"/>
  <c r="I925" i="6" s="1"/>
  <c r="H922" i="6"/>
  <c r="I922" i="6" s="1"/>
  <c r="H921" i="6"/>
  <c r="I921" i="6" s="1"/>
  <c r="H920" i="6"/>
  <c r="I920" i="6" s="1"/>
  <c r="H919" i="6"/>
  <c r="I919" i="6" s="1"/>
  <c r="H915" i="6"/>
  <c r="I915" i="6" s="1"/>
  <c r="H913" i="6"/>
  <c r="I913" i="6" s="1"/>
  <c r="H908" i="6"/>
  <c r="H906" i="6"/>
  <c r="H904" i="6"/>
  <c r="I904" i="6" s="1"/>
  <c r="I905" i="6" s="1"/>
  <c r="H902" i="6"/>
  <c r="I902" i="6" s="1"/>
  <c r="H901" i="6"/>
  <c r="I901" i="6" s="1"/>
  <c r="H900" i="6"/>
  <c r="I900" i="6" s="1"/>
  <c r="H899" i="6"/>
  <c r="I899" i="6" s="1"/>
  <c r="H895" i="6"/>
  <c r="I895" i="6" s="1"/>
  <c r="H893" i="6"/>
  <c r="I893" i="6" s="1"/>
  <c r="H888" i="6"/>
  <c r="H886" i="6"/>
  <c r="H884" i="6"/>
  <c r="I884" i="6" s="1"/>
  <c r="I885" i="6" s="1"/>
  <c r="H882" i="6"/>
  <c r="I882" i="6" s="1"/>
  <c r="H881" i="6"/>
  <c r="I881" i="6" s="1"/>
  <c r="H880" i="6"/>
  <c r="I880" i="6" s="1"/>
  <c r="H879" i="6"/>
  <c r="I879" i="6" s="1"/>
  <c r="H875" i="6"/>
  <c r="I875" i="6" s="1"/>
  <c r="H873" i="6"/>
  <c r="I873" i="6" s="1"/>
  <c r="H868" i="6"/>
  <c r="H866" i="6"/>
  <c r="H864" i="6"/>
  <c r="I864" i="6" s="1"/>
  <c r="I865" i="6" s="1"/>
  <c r="H862" i="6"/>
  <c r="I862" i="6" s="1"/>
  <c r="H861" i="6"/>
  <c r="I861" i="6" s="1"/>
  <c r="H860" i="6"/>
  <c r="I860" i="6" s="1"/>
  <c r="H859" i="6"/>
  <c r="I859" i="6" s="1"/>
  <c r="H856" i="6"/>
  <c r="I856" i="6" s="1"/>
  <c r="H855" i="6"/>
  <c r="I855" i="6" s="1"/>
  <c r="H854" i="6"/>
  <c r="I854" i="6" s="1"/>
  <c r="H853" i="6"/>
  <c r="I853" i="6" s="1"/>
  <c r="H848" i="6"/>
  <c r="H846" i="6"/>
  <c r="H844" i="6"/>
  <c r="I844" i="6" s="1"/>
  <c r="I845" i="6" s="1"/>
  <c r="H842" i="6"/>
  <c r="I842" i="6" s="1"/>
  <c r="H841" i="6"/>
  <c r="I841" i="6" s="1"/>
  <c r="H840" i="6"/>
  <c r="I840" i="6" s="1"/>
  <c r="H839" i="6"/>
  <c r="I839" i="6" s="1"/>
  <c r="H835" i="6"/>
  <c r="I835" i="6" s="1"/>
  <c r="H833" i="6"/>
  <c r="I833" i="6" s="1"/>
  <c r="H828" i="6"/>
  <c r="H826" i="6"/>
  <c r="H824" i="6"/>
  <c r="I824" i="6" s="1"/>
  <c r="I825" i="6" s="1"/>
  <c r="H822" i="6"/>
  <c r="I822" i="6" s="1"/>
  <c r="H821" i="6"/>
  <c r="I821" i="6" s="1"/>
  <c r="H820" i="6"/>
  <c r="I820" i="6" s="1"/>
  <c r="H819" i="6"/>
  <c r="I819" i="6" s="1"/>
  <c r="H815" i="6"/>
  <c r="I815" i="6" s="1"/>
  <c r="H813" i="6"/>
  <c r="I813" i="6" s="1"/>
  <c r="H806" i="6"/>
  <c r="H804" i="6"/>
  <c r="H802" i="6"/>
  <c r="I802" i="6" s="1"/>
  <c r="I803" i="6" s="1"/>
  <c r="H800" i="6"/>
  <c r="I800" i="6" s="1"/>
  <c r="H799" i="6"/>
  <c r="I799" i="6" s="1"/>
  <c r="H798" i="6"/>
  <c r="I798" i="6" s="1"/>
  <c r="H797" i="6"/>
  <c r="I797" i="6" s="1"/>
  <c r="H793" i="6"/>
  <c r="I793" i="6" s="1"/>
  <c r="H791" i="6"/>
  <c r="I791" i="6" s="1"/>
  <c r="H786" i="6"/>
  <c r="H784" i="6"/>
  <c r="H782" i="6"/>
  <c r="I782" i="6" s="1"/>
  <c r="I783" i="6" s="1"/>
  <c r="H780" i="6"/>
  <c r="I780" i="6" s="1"/>
  <c r="H779" i="6"/>
  <c r="I779" i="6" s="1"/>
  <c r="H778" i="6"/>
  <c r="I778" i="6" s="1"/>
  <c r="H777" i="6"/>
  <c r="I777" i="6" s="1"/>
  <c r="H773" i="6"/>
  <c r="I773" i="6" s="1"/>
  <c r="H771" i="6"/>
  <c r="I771" i="6" s="1"/>
  <c r="H766" i="6"/>
  <c r="H764" i="6"/>
  <c r="H762" i="6"/>
  <c r="I762" i="6" s="1"/>
  <c r="I763" i="6" s="1"/>
  <c r="H760" i="6"/>
  <c r="I760" i="6" s="1"/>
  <c r="H759" i="6"/>
  <c r="I759" i="6" s="1"/>
  <c r="H758" i="6"/>
  <c r="I758" i="6" s="1"/>
  <c r="H757" i="6"/>
  <c r="I757" i="6" s="1"/>
  <c r="H753" i="6"/>
  <c r="I753" i="6" s="1"/>
  <c r="H751" i="6"/>
  <c r="I751" i="6" s="1"/>
  <c r="H745" i="6"/>
  <c r="H743" i="6"/>
  <c r="H741" i="6"/>
  <c r="I741" i="6" s="1"/>
  <c r="I742" i="6" s="1"/>
  <c r="H739" i="6"/>
  <c r="I739" i="6" s="1"/>
  <c r="H738" i="6"/>
  <c r="I738" i="6" s="1"/>
  <c r="H737" i="6"/>
  <c r="I737" i="6" s="1"/>
  <c r="H736" i="6"/>
  <c r="I736" i="6" s="1"/>
  <c r="H732" i="6"/>
  <c r="I732" i="6" s="1"/>
  <c r="H730" i="6"/>
  <c r="I730" i="6" s="1"/>
  <c r="H725" i="6"/>
  <c r="H723" i="6"/>
  <c r="H721" i="6"/>
  <c r="I721" i="6" s="1"/>
  <c r="I722" i="6" s="1"/>
  <c r="H719" i="6"/>
  <c r="I719" i="6" s="1"/>
  <c r="H718" i="6"/>
  <c r="I718" i="6" s="1"/>
  <c r="H717" i="6"/>
  <c r="I717" i="6" s="1"/>
  <c r="H716" i="6"/>
  <c r="I716" i="6" s="1"/>
  <c r="H715" i="6"/>
  <c r="I715" i="6" s="1"/>
  <c r="H714" i="6"/>
  <c r="I714" i="6" s="1"/>
  <c r="H710" i="6"/>
  <c r="I710" i="6" s="1"/>
  <c r="H709" i="6"/>
  <c r="I709" i="6" s="1"/>
  <c r="H708" i="6"/>
  <c r="I708" i="6" s="1"/>
  <c r="H703" i="6"/>
  <c r="H701" i="6"/>
  <c r="H699" i="6"/>
  <c r="I699" i="6" s="1"/>
  <c r="I700" i="6" s="1"/>
  <c r="H697" i="6"/>
  <c r="I697" i="6" s="1"/>
  <c r="H696" i="6"/>
  <c r="I696" i="6" s="1"/>
  <c r="H692" i="6"/>
  <c r="I692" i="6" s="1"/>
  <c r="H690" i="6"/>
  <c r="I690" i="6" s="1"/>
  <c r="H685" i="6"/>
  <c r="H683" i="6"/>
  <c r="H681" i="6"/>
  <c r="I681" i="6" s="1"/>
  <c r="I682" i="6" s="1"/>
  <c r="H679" i="6"/>
  <c r="I679" i="6" s="1"/>
  <c r="H678" i="6"/>
  <c r="I678" i="6" s="1"/>
  <c r="H677" i="6"/>
  <c r="I677" i="6" s="1"/>
  <c r="H676" i="6"/>
  <c r="I676" i="6" s="1"/>
  <c r="H673" i="6"/>
  <c r="I673" i="6" s="1"/>
  <c r="H672" i="6"/>
  <c r="I672" i="6" s="1"/>
  <c r="H671" i="6"/>
  <c r="I671" i="6" s="1"/>
  <c r="H670" i="6"/>
  <c r="I670" i="6" s="1"/>
  <c r="H665" i="6"/>
  <c r="H663" i="6"/>
  <c r="H661" i="6"/>
  <c r="I661" i="6" s="1"/>
  <c r="I662" i="6" s="1"/>
  <c r="H659" i="6"/>
  <c r="I659" i="6" s="1"/>
  <c r="H658" i="6"/>
  <c r="I658" i="6" s="1"/>
  <c r="H657" i="6"/>
  <c r="I657" i="6" s="1"/>
  <c r="H656" i="6"/>
  <c r="I656" i="6" s="1"/>
  <c r="H652" i="6"/>
  <c r="I652" i="6" s="1"/>
  <c r="H650" i="6"/>
  <c r="I650" i="6" s="1"/>
  <c r="H645" i="6"/>
  <c r="H643" i="6"/>
  <c r="H641" i="6"/>
  <c r="I641" i="6" s="1"/>
  <c r="I642" i="6" s="1"/>
  <c r="H639" i="6"/>
  <c r="I639" i="6" s="1"/>
  <c r="H638" i="6"/>
  <c r="I638" i="6" s="1"/>
  <c r="H637" i="6"/>
  <c r="I637" i="6" s="1"/>
  <c r="H636" i="6"/>
  <c r="I636" i="6" s="1"/>
  <c r="H632" i="6"/>
  <c r="I632" i="6" s="1"/>
  <c r="H630" i="6"/>
  <c r="I630" i="6" s="1"/>
  <c r="H625" i="6"/>
  <c r="H623" i="6"/>
  <c r="H621" i="6"/>
  <c r="I621" i="6" s="1"/>
  <c r="I622" i="6" s="1"/>
  <c r="H619" i="6"/>
  <c r="I619" i="6" s="1"/>
  <c r="H618" i="6"/>
  <c r="I618" i="6" s="1"/>
  <c r="H617" i="6"/>
  <c r="I617" i="6" s="1"/>
  <c r="H616" i="6"/>
  <c r="I616" i="6" s="1"/>
  <c r="H613" i="6"/>
  <c r="I613" i="6" s="1"/>
  <c r="H611" i="6"/>
  <c r="I611" i="6" s="1"/>
  <c r="H606" i="6"/>
  <c r="H604" i="6"/>
  <c r="H602" i="6"/>
  <c r="I602" i="6" s="1"/>
  <c r="I603" i="6" s="1"/>
  <c r="H600" i="6"/>
  <c r="I600" i="6" s="1"/>
  <c r="H599" i="6"/>
  <c r="I599" i="6" s="1"/>
  <c r="H598" i="6"/>
  <c r="I598" i="6" s="1"/>
  <c r="H597" i="6"/>
  <c r="I597" i="6" s="1"/>
  <c r="H594" i="6"/>
  <c r="I594" i="6" s="1"/>
  <c r="H592" i="6"/>
  <c r="I592" i="6" s="1"/>
  <c r="H587" i="6"/>
  <c r="H585" i="6"/>
  <c r="H583" i="6"/>
  <c r="I583" i="6" s="1"/>
  <c r="I584" i="6" s="1"/>
  <c r="H581" i="6"/>
  <c r="I581" i="6" s="1"/>
  <c r="H580" i="6"/>
  <c r="I580" i="6" s="1"/>
  <c r="H579" i="6"/>
  <c r="I579" i="6" s="1"/>
  <c r="H578" i="6"/>
  <c r="I578" i="6" s="1"/>
  <c r="H575" i="6"/>
  <c r="I575" i="6" s="1"/>
  <c r="H573" i="6"/>
  <c r="I573" i="6" s="1"/>
  <c r="H568" i="6"/>
  <c r="H566" i="6"/>
  <c r="H564" i="6"/>
  <c r="I564" i="6" s="1"/>
  <c r="I565" i="6" s="1"/>
  <c r="H562" i="6"/>
  <c r="I562" i="6" s="1"/>
  <c r="H561" i="6"/>
  <c r="I561" i="6" s="1"/>
  <c r="H560" i="6"/>
  <c r="I560" i="6" s="1"/>
  <c r="H559" i="6"/>
  <c r="I559" i="6" s="1"/>
  <c r="H556" i="6"/>
  <c r="I556" i="6" s="1"/>
  <c r="H554" i="6"/>
  <c r="I554" i="6" s="1"/>
  <c r="H549" i="6"/>
  <c r="H547" i="6"/>
  <c r="H545" i="6"/>
  <c r="I545" i="6" s="1"/>
  <c r="I546" i="6" s="1"/>
  <c r="H543" i="6"/>
  <c r="I543" i="6" s="1"/>
  <c r="H542" i="6"/>
  <c r="I542" i="6" s="1"/>
  <c r="H541" i="6"/>
  <c r="I541" i="6" s="1"/>
  <c r="H537" i="6"/>
  <c r="I537" i="6" s="1"/>
  <c r="H536" i="6"/>
  <c r="I536" i="6" s="1"/>
  <c r="H535" i="6"/>
  <c r="I535" i="6" s="1"/>
  <c r="H534" i="6"/>
  <c r="I534" i="6" s="1"/>
  <c r="H529" i="6"/>
  <c r="H527" i="6"/>
  <c r="H525" i="6"/>
  <c r="I525" i="6" s="1"/>
  <c r="I526" i="6" s="1"/>
  <c r="H523" i="6"/>
  <c r="I523" i="6" s="1"/>
  <c r="I524" i="6" s="1"/>
  <c r="H522" i="6"/>
  <c r="I522" i="6" s="1"/>
  <c r="H519" i="6"/>
  <c r="I519" i="6" s="1"/>
  <c r="H518" i="6"/>
  <c r="I518" i="6" s="1"/>
  <c r="H514" i="6"/>
  <c r="H512" i="6"/>
  <c r="H510" i="6"/>
  <c r="I510" i="6" s="1"/>
  <c r="I511" i="6" s="1"/>
  <c r="H508" i="6"/>
  <c r="I508" i="6" s="1"/>
  <c r="I509" i="6" s="1"/>
  <c r="H507" i="6"/>
  <c r="I507" i="6" s="1"/>
  <c r="H504" i="6"/>
  <c r="I504" i="6" s="1"/>
  <c r="H503" i="6"/>
  <c r="I503" i="6" s="1"/>
  <c r="H499" i="6"/>
  <c r="H497" i="6"/>
  <c r="H495" i="6"/>
  <c r="I495" i="6" s="1"/>
  <c r="I496" i="6" s="1"/>
  <c r="H493" i="6"/>
  <c r="I493" i="6" s="1"/>
  <c r="H492" i="6"/>
  <c r="I492" i="6" s="1"/>
  <c r="H491" i="6"/>
  <c r="I491" i="6" s="1"/>
  <c r="H490" i="6"/>
  <c r="I490" i="6" s="1"/>
  <c r="H487" i="6"/>
  <c r="I487" i="6" s="1"/>
  <c r="H486" i="6"/>
  <c r="I486" i="6" s="1"/>
  <c r="H485" i="6"/>
  <c r="I485" i="6" s="1"/>
  <c r="H484" i="6"/>
  <c r="I484" i="6" s="1"/>
  <c r="H480" i="6"/>
  <c r="H478" i="6"/>
  <c r="H476" i="6"/>
  <c r="I476" i="6" s="1"/>
  <c r="I477" i="6" s="1"/>
  <c r="H474" i="6"/>
  <c r="I474" i="6" s="1"/>
  <c r="I475" i="6" s="1"/>
  <c r="H473" i="6"/>
  <c r="I473" i="6" s="1"/>
  <c r="H471" i="6"/>
  <c r="I471" i="6" s="1"/>
  <c r="H470" i="6"/>
  <c r="I470" i="6" s="1"/>
  <c r="H469" i="6"/>
  <c r="I469" i="6" s="1"/>
  <c r="H465" i="6"/>
  <c r="H463" i="6"/>
  <c r="H461" i="6"/>
  <c r="I461" i="6" s="1"/>
  <c r="I462" i="6" s="1"/>
  <c r="H459" i="6"/>
  <c r="I459" i="6" s="1"/>
  <c r="I460" i="6" s="1"/>
  <c r="H456" i="6"/>
  <c r="I456" i="6" s="1"/>
  <c r="H455" i="6"/>
  <c r="I455" i="6" s="1"/>
  <c r="H451" i="6"/>
  <c r="H449" i="6"/>
  <c r="H447" i="6"/>
  <c r="I447" i="6" s="1"/>
  <c r="I448" i="6" s="1"/>
  <c r="H445" i="6"/>
  <c r="I445" i="6" s="1"/>
  <c r="I446" i="6" s="1"/>
  <c r="H442" i="6"/>
  <c r="I442" i="6" s="1"/>
  <c r="H441" i="6"/>
  <c r="I441" i="6" s="1"/>
  <c r="H436" i="6"/>
  <c r="H434" i="6"/>
  <c r="H432" i="6"/>
  <c r="I432" i="6" s="1"/>
  <c r="I433" i="6" s="1"/>
  <c r="H430" i="6"/>
  <c r="I430" i="6" s="1"/>
  <c r="I431" i="6" s="1"/>
  <c r="H427" i="6"/>
  <c r="I427" i="6" s="1"/>
  <c r="H426" i="6"/>
  <c r="I426" i="6" s="1"/>
  <c r="H422" i="6"/>
  <c r="H420" i="6"/>
  <c r="H418" i="6"/>
  <c r="I418" i="6" s="1"/>
  <c r="I419" i="6" s="1"/>
  <c r="H416" i="6"/>
  <c r="I416" i="6" s="1"/>
  <c r="I417" i="6" s="1"/>
  <c r="H413" i="6"/>
  <c r="I413" i="6" s="1"/>
  <c r="H412" i="6"/>
  <c r="I412" i="6" s="1"/>
  <c r="H408" i="6"/>
  <c r="H406" i="6"/>
  <c r="H404" i="6"/>
  <c r="I404" i="6" s="1"/>
  <c r="I405" i="6" s="1"/>
  <c r="H402" i="6"/>
  <c r="I402" i="6" s="1"/>
  <c r="I403" i="6" s="1"/>
  <c r="H399" i="6"/>
  <c r="I399" i="6" s="1"/>
  <c r="H398" i="6"/>
  <c r="I398" i="6" s="1"/>
  <c r="H394" i="6"/>
  <c r="H392" i="6"/>
  <c r="H390" i="6"/>
  <c r="I390" i="6" s="1"/>
  <c r="I391" i="6" s="1"/>
  <c r="H388" i="6"/>
  <c r="I388" i="6" s="1"/>
  <c r="I389" i="6" s="1"/>
  <c r="H385" i="6"/>
  <c r="I385" i="6" s="1"/>
  <c r="H384" i="6"/>
  <c r="I384" i="6" s="1"/>
  <c r="H380" i="6"/>
  <c r="H378" i="6"/>
  <c r="H376" i="6"/>
  <c r="I376" i="6" s="1"/>
  <c r="I377" i="6" s="1"/>
  <c r="H374" i="6"/>
  <c r="I374" i="6" s="1"/>
  <c r="I375" i="6" s="1"/>
  <c r="H371" i="6"/>
  <c r="I371" i="6" s="1"/>
  <c r="H370" i="6"/>
  <c r="I370" i="6" s="1"/>
  <c r="H366" i="6"/>
  <c r="H364" i="6"/>
  <c r="H362" i="6"/>
  <c r="I362" i="6" s="1"/>
  <c r="I363" i="6" s="1"/>
  <c r="H360" i="6"/>
  <c r="I360" i="6" s="1"/>
  <c r="I361" i="6" s="1"/>
  <c r="H357" i="6"/>
  <c r="I357" i="6" s="1"/>
  <c r="H356" i="6"/>
  <c r="I356" i="6" s="1"/>
  <c r="H352" i="6"/>
  <c r="H350" i="6"/>
  <c r="H348" i="6"/>
  <c r="I348" i="6" s="1"/>
  <c r="I349" i="6" s="1"/>
  <c r="H346" i="6"/>
  <c r="I346" i="6" s="1"/>
  <c r="I347" i="6" s="1"/>
  <c r="H343" i="6"/>
  <c r="I343" i="6" s="1"/>
  <c r="H342" i="6"/>
  <c r="I342" i="6" s="1"/>
  <c r="H338" i="6"/>
  <c r="H336" i="6"/>
  <c r="H334" i="6"/>
  <c r="I334" i="6" s="1"/>
  <c r="I335" i="6" s="1"/>
  <c r="H332" i="6"/>
  <c r="I332" i="6" s="1"/>
  <c r="I333" i="6" s="1"/>
  <c r="H329" i="6"/>
  <c r="I329" i="6" s="1"/>
  <c r="H328" i="6"/>
  <c r="I328" i="6" s="1"/>
  <c r="H323" i="6"/>
  <c r="H321" i="6"/>
  <c r="H319" i="6"/>
  <c r="I319" i="6" s="1"/>
  <c r="I320" i="6" s="1"/>
  <c r="H317" i="6"/>
  <c r="I317" i="6" s="1"/>
  <c r="H316" i="6"/>
  <c r="I316" i="6" s="1"/>
  <c r="H315" i="6"/>
  <c r="I315" i="6" s="1"/>
  <c r="H314" i="6"/>
  <c r="I314" i="6" s="1"/>
  <c r="H313" i="6"/>
  <c r="I313" i="6" s="1"/>
  <c r="H312" i="6"/>
  <c r="I312" i="6" s="1"/>
  <c r="H309" i="6"/>
  <c r="I309" i="6" s="1"/>
  <c r="H308" i="6"/>
  <c r="I308" i="6" s="1"/>
  <c r="H307" i="6"/>
  <c r="I307" i="6" s="1"/>
  <c r="H302" i="6"/>
  <c r="H300" i="6"/>
  <c r="H298" i="6"/>
  <c r="I298" i="6" s="1"/>
  <c r="I299" i="6" s="1"/>
  <c r="H296" i="6"/>
  <c r="I296" i="6" s="1"/>
  <c r="I297" i="6" s="1"/>
  <c r="H295" i="6"/>
  <c r="I295" i="6" s="1"/>
  <c r="H292" i="6"/>
  <c r="I292" i="6" s="1"/>
  <c r="H291" i="6"/>
  <c r="I291" i="6" s="1"/>
  <c r="H290" i="6"/>
  <c r="I290" i="6" s="1"/>
  <c r="H285" i="6"/>
  <c r="H283" i="6"/>
  <c r="H281" i="6"/>
  <c r="I281" i="6" s="1"/>
  <c r="I282" i="6" s="1"/>
  <c r="H279" i="6"/>
  <c r="I279" i="6" s="1"/>
  <c r="I280" i="6" s="1"/>
  <c r="H276" i="6"/>
  <c r="I276" i="6" s="1"/>
  <c r="H271" i="6"/>
  <c r="H269" i="6"/>
  <c r="I267" i="6"/>
  <c r="I268" i="6" s="1"/>
  <c r="H264" i="6"/>
  <c r="I264" i="6" s="1"/>
  <c r="I265" i="6" s="1"/>
  <c r="H261" i="6"/>
  <c r="I261" i="6" s="1"/>
  <c r="H256" i="6"/>
  <c r="H254" i="6"/>
  <c r="H252" i="6"/>
  <c r="I252" i="6" s="1"/>
  <c r="I253" i="6" s="1"/>
  <c r="H250" i="6"/>
  <c r="I250" i="6" s="1"/>
  <c r="H249" i="6"/>
  <c r="I249" i="6" s="1"/>
  <c r="H248" i="6"/>
  <c r="I248" i="6" s="1"/>
  <c r="H247" i="6"/>
  <c r="I247" i="6" s="1"/>
  <c r="H244" i="6"/>
  <c r="I244" i="6" s="1"/>
  <c r="H243" i="6"/>
  <c r="I243" i="6" s="1"/>
  <c r="H239" i="6"/>
  <c r="H237" i="6"/>
  <c r="H235" i="6"/>
  <c r="I235" i="6" s="1"/>
  <c r="I236" i="6" s="1"/>
  <c r="H233" i="6"/>
  <c r="I233" i="6" s="1"/>
  <c r="H232" i="6"/>
  <c r="I232" i="6" s="1"/>
  <c r="H228" i="6"/>
  <c r="I228" i="6" s="1"/>
  <c r="H227" i="6"/>
  <c r="I227" i="6" s="1"/>
  <c r="H226" i="6"/>
  <c r="I226" i="6" s="1"/>
  <c r="H221" i="6"/>
  <c r="H219" i="6"/>
  <c r="H217" i="6"/>
  <c r="I217" i="6" s="1"/>
  <c r="I218" i="6" s="1"/>
  <c r="H215" i="6"/>
  <c r="I215" i="6" s="1"/>
  <c r="H214" i="6"/>
  <c r="I214" i="6" s="1"/>
  <c r="H213" i="6"/>
  <c r="I213" i="6" s="1"/>
  <c r="H212" i="6"/>
  <c r="I212" i="6" s="1"/>
  <c r="H210" i="6"/>
  <c r="I210" i="6" s="1"/>
  <c r="H209" i="6"/>
  <c r="I209" i="6" s="1"/>
  <c r="H208" i="6"/>
  <c r="I208" i="6" s="1"/>
  <c r="H204" i="6"/>
  <c r="H202" i="6"/>
  <c r="H200" i="6"/>
  <c r="I200" i="6" s="1"/>
  <c r="I201" i="6" s="1"/>
  <c r="H198" i="6"/>
  <c r="I198" i="6" s="1"/>
  <c r="H197" i="6"/>
  <c r="I197" i="6" s="1"/>
  <c r="H196" i="6"/>
  <c r="I196" i="6" s="1"/>
  <c r="H195" i="6"/>
  <c r="I195" i="6" s="1"/>
  <c r="H194" i="6"/>
  <c r="I194" i="6" s="1"/>
  <c r="H193" i="6"/>
  <c r="I193" i="6" s="1"/>
  <c r="H192" i="6"/>
  <c r="I192" i="6" s="1"/>
  <c r="H191" i="6"/>
  <c r="I191" i="6" s="1"/>
  <c r="H190" i="6"/>
  <c r="H187" i="6"/>
  <c r="I187" i="6" s="1"/>
  <c r="H186" i="6"/>
  <c r="I186" i="6" s="1"/>
  <c r="H185" i="6"/>
  <c r="I185" i="6" s="1"/>
  <c r="H180" i="6"/>
  <c r="H178" i="6"/>
  <c r="H176" i="6"/>
  <c r="I176" i="6" s="1"/>
  <c r="I177" i="6" s="1"/>
  <c r="H174" i="6"/>
  <c r="H171" i="6"/>
  <c r="I171" i="6" s="1"/>
  <c r="H170" i="6"/>
  <c r="H166" i="6"/>
  <c r="H164" i="6"/>
  <c r="H162" i="6"/>
  <c r="I162" i="6" s="1"/>
  <c r="I163" i="6" s="1"/>
  <c r="H160" i="6"/>
  <c r="I160" i="6" s="1"/>
  <c r="H159" i="6"/>
  <c r="I159" i="6" s="1"/>
  <c r="H158" i="6"/>
  <c r="I158" i="6" s="1"/>
  <c r="H157" i="6"/>
  <c r="I157" i="6" s="1"/>
  <c r="H153" i="6"/>
  <c r="I153" i="6" s="1"/>
  <c r="H152" i="6"/>
  <c r="I152" i="6" s="1"/>
  <c r="H151" i="6"/>
  <c r="I151" i="6" s="1"/>
  <c r="H150" i="6"/>
  <c r="I150" i="6" s="1"/>
  <c r="H140" i="6"/>
  <c r="I140" i="6" s="1"/>
  <c r="H139" i="6"/>
  <c r="I139" i="6" s="1"/>
  <c r="H138" i="6"/>
  <c r="I138" i="6" s="1"/>
  <c r="H137" i="6"/>
  <c r="I137" i="6" s="1"/>
  <c r="H136" i="6"/>
  <c r="I136" i="6" s="1"/>
  <c r="H135" i="6"/>
  <c r="I135" i="6" s="1"/>
  <c r="H134" i="6"/>
  <c r="I134" i="6" s="1"/>
  <c r="H133" i="6"/>
  <c r="I133" i="6" s="1"/>
  <c r="H129" i="6"/>
  <c r="I129" i="6" s="1"/>
  <c r="H128" i="6"/>
  <c r="I128" i="6" s="1"/>
  <c r="H127" i="6"/>
  <c r="I127" i="6" s="1"/>
  <c r="H122" i="6"/>
  <c r="H120" i="6"/>
  <c r="H118" i="6"/>
  <c r="I118" i="6" s="1"/>
  <c r="I119" i="6" s="1"/>
  <c r="H116" i="6"/>
  <c r="I116" i="6" s="1"/>
  <c r="H115" i="6"/>
  <c r="I115" i="6" s="1"/>
  <c r="H114" i="6"/>
  <c r="I114" i="6" s="1"/>
  <c r="H113" i="6"/>
  <c r="I113" i="6" s="1"/>
  <c r="H112" i="6"/>
  <c r="I112" i="6" s="1"/>
  <c r="H111" i="6"/>
  <c r="I111" i="6" s="1"/>
  <c r="H110" i="6"/>
  <c r="I110" i="6" s="1"/>
  <c r="H109" i="6"/>
  <c r="I109" i="6" s="1"/>
  <c r="H108" i="6"/>
  <c r="I108" i="6" s="1"/>
  <c r="H107" i="6"/>
  <c r="I107" i="6" s="1"/>
  <c r="H106" i="6"/>
  <c r="I106" i="6" s="1"/>
  <c r="H105" i="6"/>
  <c r="I105" i="6" s="1"/>
  <c r="H104" i="6"/>
  <c r="I104" i="6" s="1"/>
  <c r="H103" i="6"/>
  <c r="I103" i="6" s="1"/>
  <c r="H102" i="6"/>
  <c r="I102" i="6" s="1"/>
  <c r="H99" i="6"/>
  <c r="I99" i="6" s="1"/>
  <c r="H97" i="6"/>
  <c r="I97" i="6" s="1"/>
  <c r="H96" i="6"/>
  <c r="I96" i="6" s="1"/>
  <c r="H91" i="6"/>
  <c r="H89" i="6"/>
  <c r="H87" i="6"/>
  <c r="I87" i="6" s="1"/>
  <c r="I88" i="6" s="1"/>
  <c r="H85" i="6"/>
  <c r="I85" i="6" s="1"/>
  <c r="H84" i="6"/>
  <c r="I84" i="6" s="1"/>
  <c r="H83" i="6"/>
  <c r="I83" i="6" s="1"/>
  <c r="H79" i="6"/>
  <c r="I79" i="6" s="1"/>
  <c r="H78" i="6"/>
  <c r="I78" i="6" s="1"/>
  <c r="H77" i="6"/>
  <c r="I77" i="6" s="1"/>
  <c r="H72" i="6"/>
  <c r="H70" i="6"/>
  <c r="H68" i="6"/>
  <c r="I68" i="6" s="1"/>
  <c r="I69" i="6" s="1"/>
  <c r="H66" i="6"/>
  <c r="I66" i="6" s="1"/>
  <c r="H65" i="6"/>
  <c r="I65" i="6" s="1"/>
  <c r="H64" i="6"/>
  <c r="I64" i="6" s="1"/>
  <c r="H63" i="6"/>
  <c r="I63" i="6" s="1"/>
  <c r="H62" i="6"/>
  <c r="I62" i="6" s="1"/>
  <c r="H61" i="6"/>
  <c r="I61" i="6" s="1"/>
  <c r="H60" i="6"/>
  <c r="I60" i="6" s="1"/>
  <c r="H57" i="6"/>
  <c r="I57" i="6" s="1"/>
  <c r="H56" i="6"/>
  <c r="I56" i="6" s="1"/>
  <c r="H55" i="6"/>
  <c r="I55" i="6" s="1"/>
  <c r="H54" i="6"/>
  <c r="I54" i="6" s="1"/>
  <c r="H50" i="6"/>
  <c r="I47" i="6"/>
  <c r="H46" i="6"/>
  <c r="H44" i="6"/>
  <c r="I44" i="6" s="1"/>
  <c r="H43" i="6"/>
  <c r="I43" i="6" s="1"/>
  <c r="H42" i="6"/>
  <c r="I42" i="6" s="1"/>
  <c r="H41" i="6"/>
  <c r="I41" i="6" s="1"/>
  <c r="H40" i="6"/>
  <c r="I40" i="6" s="1"/>
  <c r="H39" i="6"/>
  <c r="I39" i="6" s="1"/>
  <c r="H38" i="6"/>
  <c r="I38" i="6" s="1"/>
  <c r="H37" i="6"/>
  <c r="I37" i="6" s="1"/>
  <c r="H33" i="6"/>
  <c r="I33" i="6" s="1"/>
  <c r="H32" i="6"/>
  <c r="I32" i="6" s="1"/>
  <c r="H31" i="6"/>
  <c r="I31" i="6" s="1"/>
  <c r="H30" i="6"/>
  <c r="I30" i="6" s="1"/>
  <c r="H26" i="6"/>
  <c r="I23" i="6"/>
  <c r="H20" i="6"/>
  <c r="I20" i="6" s="1"/>
  <c r="H19" i="6"/>
  <c r="I19" i="6" s="1"/>
  <c r="H18" i="6"/>
  <c r="I18" i="6" s="1"/>
  <c r="H17" i="6"/>
  <c r="I17" i="6" s="1"/>
  <c r="H16" i="6"/>
  <c r="I16" i="6" s="1"/>
  <c r="H15" i="6"/>
  <c r="I15" i="6" s="1"/>
  <c r="H14" i="6"/>
  <c r="I14" i="6" s="1"/>
  <c r="H10" i="6"/>
  <c r="I10" i="6" s="1"/>
  <c r="H9" i="6"/>
  <c r="I9" i="6" s="1"/>
  <c r="I8" i="6"/>
  <c r="T410" i="1" l="1"/>
  <c r="AE404" i="1" s="1"/>
  <c r="E42" i="5" s="1"/>
  <c r="H976" i="6"/>
  <c r="I976" i="6" s="1"/>
  <c r="H1056" i="6"/>
  <c r="I1056" i="6" s="1"/>
  <c r="H1073" i="6"/>
  <c r="I1073" i="6" s="1"/>
  <c r="H1163" i="6"/>
  <c r="I1163" i="6" s="1"/>
  <c r="H2292" i="6"/>
  <c r="I2292" i="6" s="1"/>
  <c r="H2310" i="6"/>
  <c r="I2310" i="6" s="1"/>
  <c r="H2346" i="6"/>
  <c r="I2346" i="6" s="1"/>
  <c r="H2364" i="6"/>
  <c r="I2364" i="6" s="1"/>
  <c r="I2365" i="6" s="1"/>
  <c r="H2631" i="6"/>
  <c r="I2631" i="6" s="1"/>
  <c r="H4078" i="6"/>
  <c r="I4078" i="6" s="1"/>
  <c r="H4356" i="6"/>
  <c r="I4356" i="6" s="1"/>
  <c r="H5297" i="6"/>
  <c r="I5297" i="6" s="1"/>
  <c r="I5298" i="6" s="1"/>
  <c r="H5315" i="6"/>
  <c r="I5315" i="6" s="1"/>
  <c r="H5333" i="6"/>
  <c r="I5333" i="6" s="1"/>
  <c r="H188" i="6"/>
  <c r="I188" i="6" s="1"/>
  <c r="H936" i="6"/>
  <c r="I936" i="6" s="1"/>
  <c r="H1039" i="6"/>
  <c r="I1039" i="6" s="1"/>
  <c r="H1124" i="6"/>
  <c r="I1124" i="6" s="1"/>
  <c r="H2166" i="6"/>
  <c r="I2166" i="6" s="1"/>
  <c r="H2256" i="6"/>
  <c r="I2256" i="6" s="1"/>
  <c r="H2474" i="6"/>
  <c r="I2474" i="6" s="1"/>
  <c r="H3262" i="6"/>
  <c r="I3262" i="6" s="1"/>
  <c r="H172" i="6"/>
  <c r="I172" i="6" s="1"/>
  <c r="H358" i="6"/>
  <c r="I358" i="6" s="1"/>
  <c r="I359" i="6" s="1"/>
  <c r="I364" i="6" s="1"/>
  <c r="H414" i="6"/>
  <c r="I414" i="6" s="1"/>
  <c r="H505" i="6"/>
  <c r="I505" i="6" s="1"/>
  <c r="H520" i="6"/>
  <c r="I520" i="6" s="1"/>
  <c r="H896" i="6"/>
  <c r="I896" i="6" s="1"/>
  <c r="I897" i="6" s="1"/>
  <c r="H1226" i="6"/>
  <c r="I1226" i="6" s="1"/>
  <c r="H3040" i="6"/>
  <c r="I3040" i="6" s="1"/>
  <c r="H3061" i="6"/>
  <c r="I3061" i="6" s="1"/>
  <c r="H3079" i="6"/>
  <c r="I3079" i="6" s="1"/>
  <c r="H3097" i="6"/>
  <c r="I3097" i="6" s="1"/>
  <c r="H3115" i="6"/>
  <c r="I3115" i="6" s="1"/>
  <c r="H3133" i="6"/>
  <c r="I3133" i="6" s="1"/>
  <c r="H4236" i="6"/>
  <c r="I4236" i="6" s="1"/>
  <c r="H4669" i="6"/>
  <c r="I4669" i="6" s="1"/>
  <c r="H6240" i="6"/>
  <c r="I6240" i="6" s="1"/>
  <c r="K23" i="9"/>
  <c r="H1802" i="6"/>
  <c r="I1802" i="6" s="1"/>
  <c r="H7873" i="6"/>
  <c r="I7873" i="6" s="1"/>
  <c r="H7819" i="6"/>
  <c r="I7819" i="6" s="1"/>
  <c r="H7765" i="6"/>
  <c r="I7765" i="6" s="1"/>
  <c r="H7711" i="6"/>
  <c r="I7711" i="6" s="1"/>
  <c r="H7443" i="6"/>
  <c r="I7443" i="6" s="1"/>
  <c r="H7386" i="6"/>
  <c r="I7386" i="6" s="1"/>
  <c r="H7328" i="6"/>
  <c r="I7328" i="6" s="1"/>
  <c r="H7252" i="6"/>
  <c r="I7252" i="6" s="1"/>
  <c r="H7234" i="6"/>
  <c r="I7234" i="6" s="1"/>
  <c r="H7213" i="6"/>
  <c r="I7213" i="6" s="1"/>
  <c r="I7214" i="6" s="1"/>
  <c r="H7117" i="6"/>
  <c r="I7117" i="6" s="1"/>
  <c r="H6892" i="6"/>
  <c r="I6892" i="6" s="1"/>
  <c r="I6893" i="6" s="1"/>
  <c r="I6899" i="6" s="1"/>
  <c r="H6862" i="6"/>
  <c r="I6862" i="6" s="1"/>
  <c r="H6776" i="6"/>
  <c r="I6776" i="6" s="1"/>
  <c r="H6758" i="6"/>
  <c r="I6758" i="6" s="1"/>
  <c r="H6740" i="6"/>
  <c r="I6740" i="6" s="1"/>
  <c r="I6741" i="6" s="1"/>
  <c r="H6516" i="6"/>
  <c r="I6516" i="6" s="1"/>
  <c r="H6407" i="6"/>
  <c r="I6407" i="6" s="1"/>
  <c r="H6313" i="6"/>
  <c r="I6313" i="6" s="1"/>
  <c r="H6295" i="6"/>
  <c r="I6295" i="6" s="1"/>
  <c r="H6277" i="6"/>
  <c r="I6277" i="6" s="1"/>
  <c r="H6221" i="6"/>
  <c r="I6221" i="6" s="1"/>
  <c r="H6143" i="6"/>
  <c r="I6143" i="6" s="1"/>
  <c r="H6085" i="6"/>
  <c r="I6085" i="6" s="1"/>
  <c r="I6086" i="6" s="1"/>
  <c r="H5993" i="6"/>
  <c r="I5993" i="6" s="1"/>
  <c r="H5937" i="6"/>
  <c r="I5937" i="6" s="1"/>
  <c r="H5865" i="6"/>
  <c r="I5865" i="6" s="1"/>
  <c r="H5809" i="6"/>
  <c r="I5809" i="6" s="1"/>
  <c r="H5567" i="6"/>
  <c r="I5567" i="6" s="1"/>
  <c r="H5423" i="6"/>
  <c r="I5423" i="6" s="1"/>
  <c r="H5279" i="6"/>
  <c r="I5279" i="6" s="1"/>
  <c r="H5223" i="6"/>
  <c r="I5223" i="6" s="1"/>
  <c r="H4947" i="6"/>
  <c r="I4947" i="6" s="1"/>
  <c r="H4929" i="6"/>
  <c r="I4929" i="6" s="1"/>
  <c r="H4911" i="6"/>
  <c r="I4911" i="6" s="1"/>
  <c r="H4798" i="6"/>
  <c r="I4798" i="6" s="1"/>
  <c r="H4780" i="6"/>
  <c r="I4780" i="6" s="1"/>
  <c r="H4708" i="6"/>
  <c r="I4708" i="6" s="1"/>
  <c r="H4628" i="6"/>
  <c r="I4628" i="6" s="1"/>
  <c r="H4568" i="6"/>
  <c r="I4568" i="6" s="1"/>
  <c r="H7913" i="6"/>
  <c r="I7913" i="6" s="1"/>
  <c r="H7837" i="6"/>
  <c r="I7837" i="6" s="1"/>
  <c r="H7783" i="6"/>
  <c r="I7783" i="6" s="1"/>
  <c r="H7657" i="6"/>
  <c r="I7657" i="6" s="1"/>
  <c r="H7520" i="6"/>
  <c r="I7520" i="6" s="1"/>
  <c r="H7461" i="6"/>
  <c r="I7461" i="6" s="1"/>
  <c r="H7404" i="6"/>
  <c r="I7404" i="6" s="1"/>
  <c r="H7271" i="6"/>
  <c r="I7271" i="6" s="1"/>
  <c r="H7173" i="6"/>
  <c r="I7173" i="6" s="1"/>
  <c r="H7098" i="6"/>
  <c r="I7098" i="6" s="1"/>
  <c r="H7006" i="6"/>
  <c r="I7006" i="6" s="1"/>
  <c r="H6909" i="6"/>
  <c r="I6909" i="6" s="1"/>
  <c r="H6722" i="6"/>
  <c r="I6722" i="6" s="1"/>
  <c r="H6705" i="6"/>
  <c r="I6705" i="6" s="1"/>
  <c r="H6688" i="6"/>
  <c r="I6688" i="6" s="1"/>
  <c r="H6671" i="6"/>
  <c r="I6671" i="6" s="1"/>
  <c r="H6654" i="6"/>
  <c r="I6654" i="6" s="1"/>
  <c r="H6637" i="6"/>
  <c r="I6637" i="6" s="1"/>
  <c r="H6620" i="6"/>
  <c r="I6620" i="6" s="1"/>
  <c r="H6603" i="6"/>
  <c r="I6603" i="6" s="1"/>
  <c r="I6604" i="6" s="1"/>
  <c r="I6610" i="6" s="1"/>
  <c r="H6586" i="6"/>
  <c r="I6586" i="6" s="1"/>
  <c r="H6533" i="6"/>
  <c r="I6533" i="6" s="1"/>
  <c r="H6465" i="6"/>
  <c r="I6465" i="6" s="1"/>
  <c r="H6259" i="6"/>
  <c r="I6259" i="6" s="1"/>
  <c r="H6164" i="6"/>
  <c r="I6164" i="6" s="1"/>
  <c r="H5975" i="6"/>
  <c r="I5975" i="6" s="1"/>
  <c r="H5847" i="6"/>
  <c r="I5847" i="6" s="1"/>
  <c r="H5790" i="6"/>
  <c r="I5790" i="6" s="1"/>
  <c r="I5791" i="6" s="1"/>
  <c r="H5769" i="6"/>
  <c r="I5769" i="6" s="1"/>
  <c r="H5693" i="6"/>
  <c r="I5693" i="6" s="1"/>
  <c r="H5675" i="6"/>
  <c r="I5675" i="6" s="1"/>
  <c r="H5657" i="6"/>
  <c r="I5657" i="6" s="1"/>
  <c r="I5658" i="6" s="1"/>
  <c r="H5549" i="6"/>
  <c r="I5549" i="6" s="1"/>
  <c r="H5531" i="6"/>
  <c r="I5531" i="6" s="1"/>
  <c r="H5513" i="6"/>
  <c r="I5513" i="6" s="1"/>
  <c r="H5405" i="6"/>
  <c r="I5405" i="6" s="1"/>
  <c r="H5387" i="6"/>
  <c r="I5387" i="6" s="1"/>
  <c r="H5369" i="6"/>
  <c r="I5369" i="6" s="1"/>
  <c r="H5261" i="6"/>
  <c r="I5261" i="6" s="1"/>
  <c r="H5204" i="6"/>
  <c r="I5204" i="6" s="1"/>
  <c r="I5205" i="6" s="1"/>
  <c r="H5187" i="6"/>
  <c r="I5187" i="6" s="1"/>
  <c r="H5170" i="6"/>
  <c r="I5170" i="6" s="1"/>
  <c r="H5153" i="6"/>
  <c r="I5153" i="6" s="1"/>
  <c r="H5055" i="6"/>
  <c r="I5055" i="6" s="1"/>
  <c r="I5056" i="6" s="1"/>
  <c r="H4892" i="6"/>
  <c r="I4892" i="6" s="1"/>
  <c r="H4689" i="6"/>
  <c r="I4689" i="6" s="1"/>
  <c r="H4608" i="6"/>
  <c r="I4608" i="6" s="1"/>
  <c r="H4216" i="6"/>
  <c r="I4216" i="6" s="1"/>
  <c r="H4138" i="6"/>
  <c r="I4138" i="6" s="1"/>
  <c r="H4058" i="6"/>
  <c r="I4058" i="6" s="1"/>
  <c r="H4018" i="6"/>
  <c r="I4018" i="6" s="1"/>
  <c r="H3978" i="6"/>
  <c r="I3978" i="6" s="1"/>
  <c r="H3938" i="6"/>
  <c r="I3938" i="6" s="1"/>
  <c r="H3881" i="6"/>
  <c r="I3881" i="6" s="1"/>
  <c r="H3841" i="6"/>
  <c r="I3841" i="6" s="1"/>
  <c r="H3801" i="6"/>
  <c r="I3801" i="6" s="1"/>
  <c r="I3802" i="6" s="1"/>
  <c r="H3603" i="6"/>
  <c r="I3603" i="6" s="1"/>
  <c r="H3532" i="6"/>
  <c r="I3532" i="6" s="1"/>
  <c r="H3514" i="6"/>
  <c r="I3514" i="6" s="1"/>
  <c r="H3371" i="6"/>
  <c r="I3371" i="6" s="1"/>
  <c r="H3353" i="6"/>
  <c r="I3353" i="6" s="1"/>
  <c r="H3335" i="6"/>
  <c r="I3335" i="6" s="1"/>
  <c r="H3317" i="6"/>
  <c r="I3317" i="6" s="1"/>
  <c r="H3299" i="6"/>
  <c r="I3299" i="6" s="1"/>
  <c r="I3300" i="6" s="1"/>
  <c r="H3021" i="6"/>
  <c r="I3021" i="6" s="1"/>
  <c r="H2964" i="6"/>
  <c r="I2964" i="6" s="1"/>
  <c r="H2708" i="6"/>
  <c r="I2708" i="6" s="1"/>
  <c r="H2650" i="6"/>
  <c r="I2650" i="6" s="1"/>
  <c r="I2651" i="6" s="1"/>
  <c r="H7934" i="6"/>
  <c r="I7934" i="6" s="1"/>
  <c r="H7893" i="6"/>
  <c r="I7893" i="6" s="1"/>
  <c r="H7855" i="6"/>
  <c r="I7855" i="6" s="1"/>
  <c r="H7729" i="6"/>
  <c r="I7729" i="6" s="1"/>
  <c r="H7675" i="6"/>
  <c r="I7675" i="6" s="1"/>
  <c r="H7603" i="6"/>
  <c r="I7603" i="6" s="1"/>
  <c r="H7581" i="6"/>
  <c r="I7581" i="6" s="1"/>
  <c r="H7559" i="6"/>
  <c r="I7559" i="6" s="1"/>
  <c r="H7537" i="6"/>
  <c r="I7537" i="6" s="1"/>
  <c r="H7425" i="6"/>
  <c r="I7425" i="6" s="1"/>
  <c r="H7308" i="6"/>
  <c r="I7308" i="6" s="1"/>
  <c r="H7289" i="6"/>
  <c r="I7289" i="6" s="1"/>
  <c r="I7290" i="6" s="1"/>
  <c r="H7194" i="6"/>
  <c r="I7194" i="6" s="1"/>
  <c r="H7153" i="6"/>
  <c r="I7153" i="6" s="1"/>
  <c r="I7154" i="6" s="1"/>
  <c r="H7062" i="6"/>
  <c r="I7062" i="6" s="1"/>
  <c r="H7044" i="6"/>
  <c r="I7044" i="6" s="1"/>
  <c r="H6955" i="6"/>
  <c r="I6955" i="6" s="1"/>
  <c r="H6877" i="6"/>
  <c r="I6877" i="6" s="1"/>
  <c r="H6568" i="6"/>
  <c r="I6568" i="6" s="1"/>
  <c r="H6550" i="6"/>
  <c r="I6550" i="6" s="1"/>
  <c r="H6482" i="6"/>
  <c r="I6482" i="6" s="1"/>
  <c r="H6367" i="6"/>
  <c r="I6367" i="6" s="1"/>
  <c r="H6349" i="6"/>
  <c r="I6349" i="6" s="1"/>
  <c r="H6202" i="6"/>
  <c r="I6202" i="6" s="1"/>
  <c r="H6123" i="6"/>
  <c r="I6123" i="6" s="1"/>
  <c r="H6105" i="6"/>
  <c r="I6105" i="6" s="1"/>
  <c r="H6065" i="6"/>
  <c r="I6065" i="6" s="1"/>
  <c r="H5956" i="6"/>
  <c r="I5956" i="6" s="1"/>
  <c r="I5957" i="6" s="1"/>
  <c r="H5751" i="6"/>
  <c r="I5751" i="6" s="1"/>
  <c r="H5639" i="6"/>
  <c r="I5639" i="6" s="1"/>
  <c r="H5495" i="6"/>
  <c r="I5495" i="6" s="1"/>
  <c r="H5351" i="6"/>
  <c r="I5351" i="6" s="1"/>
  <c r="I5352" i="6" s="1"/>
  <c r="H5242" i="6"/>
  <c r="I5242" i="6" s="1"/>
  <c r="H5134" i="6"/>
  <c r="I5134" i="6" s="1"/>
  <c r="I5135" i="6" s="1"/>
  <c r="H5019" i="6"/>
  <c r="I5019" i="6" s="1"/>
  <c r="H5001" i="6"/>
  <c r="I5001" i="6" s="1"/>
  <c r="H4983" i="6"/>
  <c r="I4983" i="6" s="1"/>
  <c r="H4873" i="6"/>
  <c r="I4873" i="6" s="1"/>
  <c r="H4854" i="6"/>
  <c r="I4854" i="6" s="1"/>
  <c r="H4835" i="6"/>
  <c r="I4835" i="6" s="1"/>
  <c r="I4836" i="6" s="1"/>
  <c r="H4648" i="6"/>
  <c r="I4648" i="6" s="1"/>
  <c r="H4548" i="6"/>
  <c r="I4548" i="6" s="1"/>
  <c r="H4508" i="6"/>
  <c r="I4508" i="6" s="1"/>
  <c r="H4490" i="6"/>
  <c r="I4490" i="6" s="1"/>
  <c r="I4491" i="6" s="1"/>
  <c r="H4416" i="6"/>
  <c r="I4416" i="6" s="1"/>
  <c r="H4376" i="6"/>
  <c r="I4376" i="6" s="1"/>
  <c r="H4336" i="6"/>
  <c r="I4336" i="6" s="1"/>
  <c r="H4296" i="6"/>
  <c r="I4296" i="6" s="1"/>
  <c r="I4297" i="6" s="1"/>
  <c r="H4256" i="6"/>
  <c r="I4256" i="6" s="1"/>
  <c r="H4196" i="6"/>
  <c r="I4196" i="6" s="1"/>
  <c r="H4178" i="6"/>
  <c r="I4178" i="6" s="1"/>
  <c r="H3919" i="6"/>
  <c r="I3919" i="6" s="1"/>
  <c r="I3920" i="6" s="1"/>
  <c r="H3761" i="6"/>
  <c r="I3761" i="6" s="1"/>
  <c r="H3721" i="6"/>
  <c r="I3721" i="6" s="1"/>
  <c r="H3681" i="6"/>
  <c r="I3681" i="6" s="1"/>
  <c r="H3641" i="6"/>
  <c r="I3641" i="6" s="1"/>
  <c r="I3642" i="6" s="1"/>
  <c r="H3584" i="6"/>
  <c r="I3584" i="6" s="1"/>
  <c r="H3566" i="6"/>
  <c r="I3566" i="6" s="1"/>
  <c r="H3549" i="6"/>
  <c r="I3549" i="6" s="1"/>
  <c r="H3281" i="6"/>
  <c r="I3281" i="6" s="1"/>
  <c r="H3224" i="6"/>
  <c r="I3224" i="6" s="1"/>
  <c r="H3002" i="6"/>
  <c r="I3002" i="6" s="1"/>
  <c r="H2924" i="6"/>
  <c r="I2924" i="6" s="1"/>
  <c r="H2884" i="6"/>
  <c r="I2884" i="6" s="1"/>
  <c r="H2844" i="6"/>
  <c r="I2844" i="6" s="1"/>
  <c r="H2804" i="6"/>
  <c r="I2804" i="6" s="1"/>
  <c r="H2765" i="6"/>
  <c r="I2765" i="6" s="1"/>
  <c r="H2689" i="6"/>
  <c r="I2689" i="6" s="1"/>
  <c r="H2574" i="6"/>
  <c r="I2574" i="6" s="1"/>
  <c r="H2535" i="6"/>
  <c r="I2535" i="6" s="1"/>
  <c r="H2512" i="6"/>
  <c r="I2512" i="6" s="1"/>
  <c r="H2494" i="6"/>
  <c r="I2494" i="6" s="1"/>
  <c r="I2495" i="6" s="1"/>
  <c r="I2502" i="6" s="1"/>
  <c r="H2476" i="6"/>
  <c r="I2476" i="6" s="1"/>
  <c r="H2421" i="6"/>
  <c r="I2421" i="6" s="1"/>
  <c r="I2422" i="6" s="1"/>
  <c r="H2383" i="6"/>
  <c r="I2383" i="6" s="1"/>
  <c r="H2329" i="6"/>
  <c r="I2329" i="6" s="1"/>
  <c r="I2330" i="6" s="1"/>
  <c r="I2336" i="6" s="1"/>
  <c r="H2077" i="6"/>
  <c r="I2077" i="6" s="1"/>
  <c r="H1684" i="6"/>
  <c r="I1684" i="6" s="1"/>
  <c r="H1622" i="6"/>
  <c r="I1622" i="6" s="1"/>
  <c r="H1248" i="6"/>
  <c r="I1248" i="6" s="1"/>
  <c r="H1126" i="6"/>
  <c r="I1126" i="6" s="1"/>
  <c r="I1127" i="6" s="1"/>
  <c r="H11" i="6"/>
  <c r="I11" i="6" s="1"/>
  <c r="I12" i="6" s="1"/>
  <c r="H80" i="6"/>
  <c r="I80" i="6" s="1"/>
  <c r="H130" i="6"/>
  <c r="I130" i="6" s="1"/>
  <c r="I131" i="6" s="1"/>
  <c r="H293" i="6"/>
  <c r="I293" i="6" s="1"/>
  <c r="H344" i="6"/>
  <c r="I344" i="6" s="1"/>
  <c r="I345" i="6" s="1"/>
  <c r="I350" i="6" s="1"/>
  <c r="H400" i="6"/>
  <c r="I400" i="6" s="1"/>
  <c r="H457" i="6"/>
  <c r="I457" i="6" s="1"/>
  <c r="I458" i="6" s="1"/>
  <c r="I463" i="6" s="1"/>
  <c r="H576" i="6"/>
  <c r="I576" i="6" s="1"/>
  <c r="H614" i="6"/>
  <c r="I614" i="6" s="1"/>
  <c r="H653" i="6"/>
  <c r="I653" i="6" s="1"/>
  <c r="H754" i="6"/>
  <c r="I754" i="6" s="1"/>
  <c r="H794" i="6"/>
  <c r="I794" i="6" s="1"/>
  <c r="H836" i="6"/>
  <c r="I836" i="6" s="1"/>
  <c r="H1019" i="6"/>
  <c r="I1019" i="6" s="1"/>
  <c r="H1108" i="6"/>
  <c r="I1108" i="6" s="1"/>
  <c r="H1314" i="6"/>
  <c r="I1314" i="6" s="1"/>
  <c r="H1366" i="6"/>
  <c r="I1366" i="6" s="1"/>
  <c r="H1395" i="6"/>
  <c r="I1395" i="6" s="1"/>
  <c r="H1424" i="6"/>
  <c r="I1424" i="6" s="1"/>
  <c r="H1453" i="6"/>
  <c r="I1453" i="6" s="1"/>
  <c r="H1482" i="6"/>
  <c r="I1482" i="6" s="1"/>
  <c r="H1511" i="6"/>
  <c r="I1511" i="6" s="1"/>
  <c r="H1537" i="6"/>
  <c r="I1537" i="6" s="1"/>
  <c r="H1582" i="6"/>
  <c r="I1582" i="6" s="1"/>
  <c r="H1734" i="6"/>
  <c r="I1734" i="6" s="1"/>
  <c r="H1751" i="6"/>
  <c r="I1751" i="6" s="1"/>
  <c r="H1768" i="6"/>
  <c r="I1768" i="6" s="1"/>
  <c r="H1785" i="6"/>
  <c r="I1785" i="6" s="1"/>
  <c r="H1804" i="6"/>
  <c r="I1804" i="6" s="1"/>
  <c r="H2042" i="6"/>
  <c r="I2042" i="6" s="1"/>
  <c r="H2058" i="6"/>
  <c r="I2058" i="6" s="1"/>
  <c r="I2059" i="6" s="1"/>
  <c r="H2094" i="6"/>
  <c r="I2094" i="6" s="1"/>
  <c r="H2186" i="6"/>
  <c r="I2186" i="6" s="1"/>
  <c r="H2205" i="6"/>
  <c r="I2205" i="6" s="1"/>
  <c r="H2222" i="6"/>
  <c r="I2222" i="6" s="1"/>
  <c r="I2223" i="6" s="1"/>
  <c r="I2229" i="6" s="1"/>
  <c r="H2239" i="6"/>
  <c r="I2239" i="6" s="1"/>
  <c r="I2240" i="6" s="1"/>
  <c r="I2246" i="6" s="1"/>
  <c r="H2458" i="6"/>
  <c r="I2458" i="6" s="1"/>
  <c r="H2555" i="6"/>
  <c r="I2555" i="6" s="1"/>
  <c r="H2746" i="6"/>
  <c r="I2746" i="6" s="1"/>
  <c r="H2864" i="6"/>
  <c r="I2864" i="6" s="1"/>
  <c r="H3151" i="6"/>
  <c r="I3151" i="6" s="1"/>
  <c r="H3169" i="6"/>
  <c r="I3169" i="6" s="1"/>
  <c r="H3187" i="6"/>
  <c r="I3187" i="6" s="1"/>
  <c r="H3205" i="6"/>
  <c r="I3205" i="6" s="1"/>
  <c r="H3390" i="6"/>
  <c r="I3390" i="6" s="1"/>
  <c r="H3497" i="6"/>
  <c r="I3497" i="6" s="1"/>
  <c r="H3701" i="6"/>
  <c r="I3701" i="6" s="1"/>
  <c r="I3702" i="6" s="1"/>
  <c r="H3900" i="6"/>
  <c r="I3900" i="6" s="1"/>
  <c r="H4038" i="6"/>
  <c r="I4038" i="6" s="1"/>
  <c r="H4316" i="6"/>
  <c r="I4316" i="6" s="1"/>
  <c r="H4528" i="6"/>
  <c r="I4528" i="6" s="1"/>
  <c r="I4529" i="6" s="1"/>
  <c r="H4965" i="6"/>
  <c r="I4965" i="6" s="1"/>
  <c r="H5075" i="6"/>
  <c r="I5075" i="6" s="1"/>
  <c r="H6426" i="6"/>
  <c r="I6426" i="6" s="1"/>
  <c r="H6444" i="6"/>
  <c r="I6444" i="6" s="1"/>
  <c r="H7025" i="6"/>
  <c r="I7025" i="6" s="1"/>
  <c r="I7026" i="6" s="1"/>
  <c r="H7135" i="6"/>
  <c r="I7135" i="6" s="1"/>
  <c r="I7136" i="6" s="1"/>
  <c r="H7621" i="6"/>
  <c r="I7621" i="6" s="1"/>
  <c r="H7639" i="6"/>
  <c r="I7639" i="6" s="1"/>
  <c r="H7747" i="6"/>
  <c r="I7747" i="6" s="1"/>
  <c r="H2438" i="6"/>
  <c r="I2438" i="6" s="1"/>
  <c r="I2441" i="6" s="1"/>
  <c r="H1338" i="6"/>
  <c r="I1338" i="6" s="1"/>
  <c r="H1312" i="6"/>
  <c r="I1312" i="6" s="1"/>
  <c r="I1315" i="6" s="1"/>
  <c r="H277" i="6"/>
  <c r="I277" i="6" s="1"/>
  <c r="I278" i="6" s="1"/>
  <c r="I283" i="6" s="1"/>
  <c r="H154" i="6"/>
  <c r="I154" i="6" s="1"/>
  <c r="H229" i="6"/>
  <c r="I229" i="6" s="1"/>
  <c r="H245" i="6"/>
  <c r="I245" i="6" s="1"/>
  <c r="H310" i="6"/>
  <c r="I310" i="6" s="1"/>
  <c r="H330" i="6"/>
  <c r="I330" i="6" s="1"/>
  <c r="I331" i="6" s="1"/>
  <c r="I336" i="6" s="1"/>
  <c r="H386" i="6"/>
  <c r="I386" i="6" s="1"/>
  <c r="H443" i="6"/>
  <c r="I443" i="6" s="1"/>
  <c r="H488" i="6"/>
  <c r="I488" i="6" s="1"/>
  <c r="H538" i="6"/>
  <c r="I538" i="6" s="1"/>
  <c r="I539" i="6" s="1"/>
  <c r="H693" i="6"/>
  <c r="I693" i="6" s="1"/>
  <c r="H876" i="6"/>
  <c r="I876" i="6" s="1"/>
  <c r="H916" i="6"/>
  <c r="I916" i="6" s="1"/>
  <c r="H956" i="6"/>
  <c r="I956" i="6" s="1"/>
  <c r="H996" i="6"/>
  <c r="I996" i="6" s="1"/>
  <c r="H1037" i="6"/>
  <c r="I1037" i="6" s="1"/>
  <c r="I1040" i="6" s="1"/>
  <c r="I1046" i="6" s="1"/>
  <c r="H1054" i="6"/>
  <c r="I1054" i="6" s="1"/>
  <c r="I1057" i="6" s="1"/>
  <c r="I1063" i="6" s="1"/>
  <c r="H1088" i="6"/>
  <c r="I1088" i="6" s="1"/>
  <c r="H1144" i="6"/>
  <c r="I1144" i="6" s="1"/>
  <c r="H1182" i="6"/>
  <c r="I1182" i="6" s="1"/>
  <c r="H1271" i="6"/>
  <c r="I1271" i="6" s="1"/>
  <c r="H1719" i="6"/>
  <c r="I1719" i="6" s="1"/>
  <c r="I1720" i="6" s="1"/>
  <c r="I1725" i="6" s="1"/>
  <c r="H1857" i="6"/>
  <c r="I1857" i="6" s="1"/>
  <c r="H1908" i="6"/>
  <c r="I1908" i="6" s="1"/>
  <c r="I1911" i="6" s="1"/>
  <c r="H2076" i="6"/>
  <c r="I2076" i="6" s="1"/>
  <c r="H2402" i="6"/>
  <c r="I2402" i="6" s="1"/>
  <c r="I2403" i="6" s="1"/>
  <c r="H2510" i="6"/>
  <c r="I2510" i="6" s="1"/>
  <c r="H2593" i="6"/>
  <c r="I2593" i="6" s="1"/>
  <c r="I2594" i="6" s="1"/>
  <c r="H2824" i="6"/>
  <c r="I2824" i="6" s="1"/>
  <c r="H3408" i="6"/>
  <c r="I3408" i="6" s="1"/>
  <c r="H3426" i="6"/>
  <c r="I3426" i="6" s="1"/>
  <c r="H3444" i="6"/>
  <c r="I3444" i="6" s="1"/>
  <c r="I3445" i="6" s="1"/>
  <c r="H3462" i="6"/>
  <c r="I3462" i="6" s="1"/>
  <c r="H3480" i="6"/>
  <c r="I3480" i="6" s="1"/>
  <c r="H3661" i="6"/>
  <c r="I3661" i="6" s="1"/>
  <c r="H3861" i="6"/>
  <c r="I3861" i="6" s="1"/>
  <c r="H3998" i="6"/>
  <c r="I3998" i="6" s="1"/>
  <c r="H4158" i="6"/>
  <c r="I4158" i="6" s="1"/>
  <c r="H4276" i="6"/>
  <c r="I4276" i="6" s="1"/>
  <c r="H4436" i="6"/>
  <c r="I4436" i="6" s="1"/>
  <c r="H4454" i="6"/>
  <c r="I4454" i="6" s="1"/>
  <c r="H4727" i="6"/>
  <c r="I4727" i="6" s="1"/>
  <c r="H4745" i="6"/>
  <c r="I4745" i="6" s="1"/>
  <c r="H4763" i="6"/>
  <c r="I4763" i="6" s="1"/>
  <c r="I4764" i="6" s="1"/>
  <c r="I4770" i="6" s="1"/>
  <c r="H5585" i="6"/>
  <c r="I5585" i="6" s="1"/>
  <c r="I5586" i="6" s="1"/>
  <c r="H5603" i="6"/>
  <c r="I5603" i="6" s="1"/>
  <c r="H5621" i="6"/>
  <c r="I5621" i="6" s="1"/>
  <c r="H5713" i="6"/>
  <c r="I5713" i="6" s="1"/>
  <c r="H5731" i="6"/>
  <c r="I5731" i="6" s="1"/>
  <c r="H5827" i="6"/>
  <c r="I5827" i="6" s="1"/>
  <c r="I5828" i="6" s="1"/>
  <c r="H6183" i="6"/>
  <c r="I6183" i="6" s="1"/>
  <c r="H6387" i="6"/>
  <c r="I6387" i="6" s="1"/>
  <c r="I6388" i="6" s="1"/>
  <c r="I6397" i="6" s="1"/>
  <c r="H6972" i="6"/>
  <c r="I6972" i="6" s="1"/>
  <c r="H6989" i="6"/>
  <c r="I6989" i="6" s="1"/>
  <c r="I6990" i="6" s="1"/>
  <c r="I6996" i="6" s="1"/>
  <c r="H7482" i="6"/>
  <c r="I7482" i="6" s="1"/>
  <c r="H7500" i="6"/>
  <c r="I7500" i="6" s="1"/>
  <c r="H34" i="6"/>
  <c r="I34" i="6" s="1"/>
  <c r="H58" i="6"/>
  <c r="I58" i="6" s="1"/>
  <c r="I59" i="6" s="1"/>
  <c r="H100" i="6"/>
  <c r="I100" i="6" s="1"/>
  <c r="H262" i="6"/>
  <c r="I262" i="6" s="1"/>
  <c r="H372" i="6"/>
  <c r="I372" i="6" s="1"/>
  <c r="I373" i="6" s="1"/>
  <c r="I378" i="6" s="1"/>
  <c r="H428" i="6"/>
  <c r="I428" i="6" s="1"/>
  <c r="I429" i="6" s="1"/>
  <c r="I434" i="6" s="1"/>
  <c r="H557" i="6"/>
  <c r="I557" i="6" s="1"/>
  <c r="H595" i="6"/>
  <c r="I595" i="6" s="1"/>
  <c r="H633" i="6"/>
  <c r="I633" i="6" s="1"/>
  <c r="H711" i="6"/>
  <c r="I711" i="6" s="1"/>
  <c r="I712" i="6" s="1"/>
  <c r="H733" i="6"/>
  <c r="I733" i="6" s="1"/>
  <c r="H774" i="6"/>
  <c r="I774" i="6" s="1"/>
  <c r="I775" i="6" s="1"/>
  <c r="H816" i="6"/>
  <c r="I816" i="6" s="1"/>
  <c r="H1106" i="6"/>
  <c r="I1106" i="6" s="1"/>
  <c r="H1204" i="6"/>
  <c r="I1204" i="6" s="1"/>
  <c r="H1293" i="6"/>
  <c r="I1293" i="6" s="1"/>
  <c r="I1294" i="6" s="1"/>
  <c r="H1364" i="6"/>
  <c r="I1364" i="6" s="1"/>
  <c r="I1367" i="6" s="1"/>
  <c r="H1393" i="6"/>
  <c r="I1393" i="6" s="1"/>
  <c r="I1396" i="6" s="1"/>
  <c r="H1422" i="6"/>
  <c r="I1422" i="6" s="1"/>
  <c r="H1451" i="6"/>
  <c r="I1451" i="6" s="1"/>
  <c r="H1480" i="6"/>
  <c r="I1480" i="6" s="1"/>
  <c r="H1509" i="6"/>
  <c r="I1509" i="6" s="1"/>
  <c r="I1512" i="6" s="1"/>
  <c r="H1535" i="6"/>
  <c r="I1535" i="6" s="1"/>
  <c r="H1562" i="6"/>
  <c r="I1562" i="6" s="1"/>
  <c r="I1563" i="6" s="1"/>
  <c r="H1602" i="6"/>
  <c r="I1602" i="6" s="1"/>
  <c r="H1642" i="6"/>
  <c r="I1642" i="6" s="1"/>
  <c r="H1664" i="6"/>
  <c r="I1664" i="6" s="1"/>
  <c r="H1704" i="6"/>
  <c r="I1704" i="6" s="1"/>
  <c r="I1705" i="6" s="1"/>
  <c r="I1710" i="6" s="1"/>
  <c r="H2128" i="6"/>
  <c r="I2128" i="6" s="1"/>
  <c r="H2147" i="6"/>
  <c r="I2147" i="6" s="1"/>
  <c r="H2273" i="6"/>
  <c r="I2273" i="6" s="1"/>
  <c r="H2456" i="6"/>
  <c r="I2456" i="6" s="1"/>
  <c r="H2492" i="6"/>
  <c r="I2492" i="6" s="1"/>
  <c r="H2612" i="6"/>
  <c r="I2612" i="6" s="1"/>
  <c r="H2670" i="6"/>
  <c r="I2670" i="6" s="1"/>
  <c r="H2784" i="6"/>
  <c r="I2784" i="6" s="1"/>
  <c r="I2785" i="6" s="1"/>
  <c r="H2983" i="6"/>
  <c r="I2983" i="6" s="1"/>
  <c r="H3243" i="6"/>
  <c r="I3243" i="6" s="1"/>
  <c r="I3244" i="6" s="1"/>
  <c r="H3622" i="6"/>
  <c r="I3622" i="6" s="1"/>
  <c r="H3781" i="6"/>
  <c r="I3781" i="6" s="1"/>
  <c r="H3821" i="6"/>
  <c r="I3821" i="6" s="1"/>
  <c r="H3958" i="6"/>
  <c r="I3958" i="6" s="1"/>
  <c r="H4098" i="6"/>
  <c r="I4098" i="6" s="1"/>
  <c r="H4396" i="6"/>
  <c r="I4396" i="6" s="1"/>
  <c r="I4397" i="6" s="1"/>
  <c r="H4472" i="6"/>
  <c r="I4472" i="6" s="1"/>
  <c r="I4473" i="6" s="1"/>
  <c r="H4588" i="6"/>
  <c r="I4588" i="6" s="1"/>
  <c r="H5441" i="6"/>
  <c r="I5441" i="6" s="1"/>
  <c r="H5459" i="6"/>
  <c r="I5459" i="6" s="1"/>
  <c r="H5477" i="6"/>
  <c r="I5477" i="6" s="1"/>
  <c r="H6499" i="6"/>
  <c r="I6499" i="6" s="1"/>
  <c r="H6794" i="6"/>
  <c r="I6794" i="6" s="1"/>
  <c r="H6811" i="6"/>
  <c r="I6811" i="6" s="1"/>
  <c r="I6812" i="6" s="1"/>
  <c r="I6818" i="6" s="1"/>
  <c r="H6828" i="6"/>
  <c r="I6828" i="6" s="1"/>
  <c r="I6829" i="6" s="1"/>
  <c r="I6835" i="6" s="1"/>
  <c r="H6845" i="6"/>
  <c r="I6845" i="6" s="1"/>
  <c r="H6932" i="6"/>
  <c r="I6932" i="6" s="1"/>
  <c r="H7079" i="6"/>
  <c r="I7079" i="6" s="1"/>
  <c r="H7348" i="6"/>
  <c r="I7348" i="6" s="1"/>
  <c r="H7368" i="6"/>
  <c r="I7368" i="6" s="1"/>
  <c r="H7693" i="6"/>
  <c r="I7693" i="6" s="1"/>
  <c r="H7801" i="6"/>
  <c r="I7801" i="6" s="1"/>
  <c r="H2344" i="6"/>
  <c r="I2344" i="6" s="1"/>
  <c r="I2347" i="6" s="1"/>
  <c r="K13" i="9"/>
  <c r="H4294" i="6"/>
  <c r="I4294" i="6" s="1"/>
  <c r="H3936" i="6"/>
  <c r="I3936" i="6" s="1"/>
  <c r="H6774" i="6"/>
  <c r="I6774" i="6" s="1"/>
  <c r="I6777" i="6" s="1"/>
  <c r="H6566" i="6"/>
  <c r="I6566" i="6" s="1"/>
  <c r="I6569" i="6" s="1"/>
  <c r="I6575" i="6" s="1"/>
  <c r="H6442" i="6"/>
  <c r="I6442" i="6" s="1"/>
  <c r="H6311" i="6"/>
  <c r="I6311" i="6" s="1"/>
  <c r="I6314" i="6" s="1"/>
  <c r="H6121" i="6"/>
  <c r="I6121" i="6" s="1"/>
  <c r="I6124" i="6" s="1"/>
  <c r="I6133" i="6" s="1"/>
  <c r="H6083" i="6"/>
  <c r="I6083" i="6" s="1"/>
  <c r="H6045" i="6"/>
  <c r="I6045" i="6" s="1"/>
  <c r="H5973" i="6"/>
  <c r="I5973" i="6" s="1"/>
  <c r="H5935" i="6"/>
  <c r="I5935" i="6" s="1"/>
  <c r="I5938" i="6" s="1"/>
  <c r="H5917" i="6"/>
  <c r="I5917" i="6" s="1"/>
  <c r="I5920" i="6" s="1"/>
  <c r="I5926" i="6" s="1"/>
  <c r="H5845" i="6"/>
  <c r="I5845" i="6" s="1"/>
  <c r="H5807" i="6"/>
  <c r="I5807" i="6" s="1"/>
  <c r="H5729" i="6"/>
  <c r="I5729" i="6" s="1"/>
  <c r="H5691" i="6"/>
  <c r="I5691" i="6" s="1"/>
  <c r="I5694" i="6" s="1"/>
  <c r="H5619" i="6"/>
  <c r="I5619" i="6" s="1"/>
  <c r="H5547" i="6"/>
  <c r="I5547" i="6" s="1"/>
  <c r="I5550" i="6" s="1"/>
  <c r="H5475" i="6"/>
  <c r="I5475" i="6" s="1"/>
  <c r="I5478" i="6" s="1"/>
  <c r="H5403" i="6"/>
  <c r="I5403" i="6" s="1"/>
  <c r="H5331" i="6"/>
  <c r="I5331" i="6" s="1"/>
  <c r="H5259" i="6"/>
  <c r="I5259" i="6" s="1"/>
  <c r="H5221" i="6"/>
  <c r="I5221" i="6" s="1"/>
  <c r="H5073" i="6"/>
  <c r="I5073" i="6" s="1"/>
  <c r="I5076" i="6" s="1"/>
  <c r="H5017" i="6"/>
  <c r="I5017" i="6" s="1"/>
  <c r="H4945" i="6"/>
  <c r="I4945" i="6" s="1"/>
  <c r="I4948" i="6" s="1"/>
  <c r="H4871" i="6"/>
  <c r="I4871" i="6" s="1"/>
  <c r="I4874" i="6" s="1"/>
  <c r="H4452" i="6"/>
  <c r="I4452" i="6" s="1"/>
  <c r="I4455" i="6" s="1"/>
  <c r="K18" i="9"/>
  <c r="H7192" i="6"/>
  <c r="I7192" i="6" s="1"/>
  <c r="I7195" i="6" s="1"/>
  <c r="H7171" i="6"/>
  <c r="I7171" i="6" s="1"/>
  <c r="I7174" i="6" s="1"/>
  <c r="H7115" i="6"/>
  <c r="I7115" i="6" s="1"/>
  <c r="I7118" i="6" s="1"/>
  <c r="H7077" i="6"/>
  <c r="I7077" i="6" s="1"/>
  <c r="H7060" i="6"/>
  <c r="I7060" i="6" s="1"/>
  <c r="I7063" i="6" s="1"/>
  <c r="I7069" i="6" s="1"/>
  <c r="H6970" i="6"/>
  <c r="I6970" i="6" s="1"/>
  <c r="I6973" i="6" s="1"/>
  <c r="H6953" i="6"/>
  <c r="I6953" i="6" s="1"/>
  <c r="I6956" i="6" s="1"/>
  <c r="I6962" i="6" s="1"/>
  <c r="H6907" i="6"/>
  <c r="I6907" i="6" s="1"/>
  <c r="L40" i="9"/>
  <c r="L41" i="9" s="1"/>
  <c r="H7912" i="6"/>
  <c r="I7912" i="6" s="1"/>
  <c r="H7872" i="6"/>
  <c r="I7872" i="6" s="1"/>
  <c r="H7800" i="6"/>
  <c r="I7800" i="6" s="1"/>
  <c r="H7728" i="6"/>
  <c r="I7728" i="6" s="1"/>
  <c r="H7656" i="6"/>
  <c r="I7656" i="6" s="1"/>
  <c r="H7442" i="6"/>
  <c r="I7442" i="6" s="1"/>
  <c r="H7367" i="6"/>
  <c r="I7367" i="6" s="1"/>
  <c r="H7307" i="6"/>
  <c r="I7307" i="6" s="1"/>
  <c r="H7270" i="6"/>
  <c r="I7270" i="6" s="1"/>
  <c r="H7251" i="6"/>
  <c r="I7251" i="6" s="1"/>
  <c r="H7043" i="6"/>
  <c r="I7043" i="6" s="1"/>
  <c r="H7005" i="6"/>
  <c r="I7005" i="6" s="1"/>
  <c r="I7007" i="6" s="1"/>
  <c r="H6757" i="6"/>
  <c r="I6757" i="6" s="1"/>
  <c r="I6759" i="6" s="1"/>
  <c r="H6549" i="6"/>
  <c r="I6549" i="6" s="1"/>
  <c r="H6532" i="6"/>
  <c r="I6532" i="6" s="1"/>
  <c r="H6515" i="6"/>
  <c r="I6515" i="6" s="1"/>
  <c r="I6517" i="6" s="1"/>
  <c r="I6523" i="6" s="1"/>
  <c r="H6498" i="6"/>
  <c r="I6498" i="6" s="1"/>
  <c r="H6481" i="6"/>
  <c r="I6481" i="6" s="1"/>
  <c r="H6464" i="6"/>
  <c r="I6464" i="6" s="1"/>
  <c r="H6425" i="6"/>
  <c r="I6425" i="6" s="1"/>
  <c r="I6427" i="6" s="1"/>
  <c r="H6366" i="6"/>
  <c r="I6366" i="6" s="1"/>
  <c r="I6368" i="6" s="1"/>
  <c r="I6377" i="6" s="1"/>
  <c r="H6294" i="6"/>
  <c r="I6294" i="6" s="1"/>
  <c r="H6239" i="6"/>
  <c r="I6239" i="6" s="1"/>
  <c r="I6241" i="6" s="1"/>
  <c r="H6201" i="6"/>
  <c r="I6201" i="6" s="1"/>
  <c r="H6163" i="6"/>
  <c r="I6163" i="6" s="1"/>
  <c r="I6165" i="6" s="1"/>
  <c r="H6142" i="6"/>
  <c r="I6142" i="6" s="1"/>
  <c r="I6144" i="6" s="1"/>
  <c r="H6104" i="6"/>
  <c r="I6104" i="6" s="1"/>
  <c r="H6028" i="6"/>
  <c r="I6028" i="6" s="1"/>
  <c r="H5900" i="6"/>
  <c r="I5900" i="6" s="1"/>
  <c r="I5902" i="6" s="1"/>
  <c r="H5712" i="6"/>
  <c r="I5712" i="6" s="1"/>
  <c r="H5674" i="6"/>
  <c r="I5674" i="6" s="1"/>
  <c r="I5676" i="6" s="1"/>
  <c r="H5602" i="6"/>
  <c r="I5602" i="6" s="1"/>
  <c r="H5530" i="6"/>
  <c r="I5530" i="6" s="1"/>
  <c r="I5532" i="6" s="1"/>
  <c r="H5458" i="6"/>
  <c r="I5458" i="6" s="1"/>
  <c r="H5386" i="6"/>
  <c r="I5386" i="6" s="1"/>
  <c r="H5314" i="6"/>
  <c r="I5314" i="6" s="1"/>
  <c r="I5316" i="6" s="1"/>
  <c r="H5000" i="6"/>
  <c r="I5000" i="6" s="1"/>
  <c r="H4928" i="6"/>
  <c r="I4928" i="6" s="1"/>
  <c r="I4930" i="6" s="1"/>
  <c r="H4853" i="6"/>
  <c r="I4853" i="6" s="1"/>
  <c r="H4688" i="6"/>
  <c r="I4688" i="6" s="1"/>
  <c r="H4627" i="6"/>
  <c r="I4627" i="6" s="1"/>
  <c r="H4587" i="6"/>
  <c r="I4587" i="6" s="1"/>
  <c r="I4589" i="6" s="1"/>
  <c r="H4547" i="6"/>
  <c r="I4547" i="6" s="1"/>
  <c r="H4435" i="6"/>
  <c r="I4435" i="6" s="1"/>
  <c r="I4437" i="6" s="1"/>
  <c r="H4255" i="6"/>
  <c r="I4255" i="6" s="1"/>
  <c r="H4215" i="6"/>
  <c r="I4215" i="6" s="1"/>
  <c r="H4157" i="6"/>
  <c r="I4157" i="6" s="1"/>
  <c r="H4117" i="6"/>
  <c r="I4117" i="6" s="1"/>
  <c r="H834" i="6"/>
  <c r="I834" i="6" s="1"/>
  <c r="H994" i="6"/>
  <c r="I994" i="6" s="1"/>
  <c r="I997" i="6" s="1"/>
  <c r="H1600" i="6"/>
  <c r="I1600" i="6" s="1"/>
  <c r="H2290" i="6"/>
  <c r="I2290" i="6" s="1"/>
  <c r="I2293" i="6" s="1"/>
  <c r="H2610" i="6"/>
  <c r="I2610" i="6" s="1"/>
  <c r="H2744" i="6"/>
  <c r="I2744" i="6" s="1"/>
  <c r="H2922" i="6"/>
  <c r="I2922" i="6" s="1"/>
  <c r="H3059" i="6"/>
  <c r="I3059" i="6" s="1"/>
  <c r="I3062" i="6" s="1"/>
  <c r="H3203" i="6"/>
  <c r="I3203" i="6" s="1"/>
  <c r="I3206" i="6" s="1"/>
  <c r="H3351" i="6"/>
  <c r="I3351" i="6" s="1"/>
  <c r="H3424" i="6"/>
  <c r="I3424" i="6" s="1"/>
  <c r="H3601" i="6"/>
  <c r="I3601" i="6" s="1"/>
  <c r="I3604" i="6" s="1"/>
  <c r="H3739" i="6"/>
  <c r="I3739" i="6" s="1"/>
  <c r="I3742" i="6" s="1"/>
  <c r="H3898" i="6"/>
  <c r="I3898" i="6" s="1"/>
  <c r="I3901" i="6" s="1"/>
  <c r="H4076" i="6"/>
  <c r="I4076" i="6" s="1"/>
  <c r="I4079" i="6" s="1"/>
  <c r="H4274" i="6"/>
  <c r="I4274" i="6" s="1"/>
  <c r="I4277" i="6" s="1"/>
  <c r="H4506" i="6"/>
  <c r="I4506" i="6" s="1"/>
  <c r="I4509" i="6" s="1"/>
  <c r="H7480" i="6"/>
  <c r="I7480" i="6" s="1"/>
  <c r="I7483" i="6" s="1"/>
  <c r="H7518" i="6"/>
  <c r="I7518" i="6" s="1"/>
  <c r="H7535" i="6"/>
  <c r="I7535" i="6" s="1"/>
  <c r="I7538" i="6" s="1"/>
  <c r="H1017" i="6"/>
  <c r="I1017" i="6" s="1"/>
  <c r="I1020" i="6" s="1"/>
  <c r="H593" i="6"/>
  <c r="I593" i="6" s="1"/>
  <c r="H772" i="6"/>
  <c r="I772" i="6" s="1"/>
  <c r="H934" i="6"/>
  <c r="I934" i="6" s="1"/>
  <c r="I937" i="6" s="1"/>
  <c r="H1748" i="6"/>
  <c r="I1748" i="6" s="1"/>
  <c r="I1752" i="6" s="1"/>
  <c r="I1757" i="6" s="1"/>
  <c r="H1854" i="6"/>
  <c r="I1854" i="6" s="1"/>
  <c r="H2184" i="6"/>
  <c r="I2184" i="6" s="1"/>
  <c r="H2308" i="6"/>
  <c r="I2308" i="6" s="1"/>
  <c r="I2311" i="6" s="1"/>
  <c r="H2572" i="6"/>
  <c r="I2572" i="6" s="1"/>
  <c r="I2575" i="6" s="1"/>
  <c r="H2706" i="6"/>
  <c r="I2706" i="6" s="1"/>
  <c r="I2709" i="6" s="1"/>
  <c r="H2862" i="6"/>
  <c r="I2862" i="6" s="1"/>
  <c r="H3077" i="6"/>
  <c r="I3077" i="6" s="1"/>
  <c r="I3080" i="6" s="1"/>
  <c r="H3369" i="6"/>
  <c r="I3369" i="6" s="1"/>
  <c r="H3478" i="6"/>
  <c r="I3478" i="6" s="1"/>
  <c r="I3481" i="6" s="1"/>
  <c r="I3487" i="6" s="1"/>
  <c r="H3495" i="6"/>
  <c r="I3495" i="6" s="1"/>
  <c r="H3512" i="6"/>
  <c r="I3512" i="6" s="1"/>
  <c r="I3515" i="6" s="1"/>
  <c r="I3522" i="6" s="1"/>
  <c r="H3719" i="6"/>
  <c r="I3719" i="6" s="1"/>
  <c r="H3879" i="6"/>
  <c r="I3879" i="6" s="1"/>
  <c r="I3882" i="6" s="1"/>
  <c r="H4016" i="6"/>
  <c r="I4016" i="6" s="1"/>
  <c r="H4176" i="6"/>
  <c r="I4176" i="6" s="1"/>
  <c r="I4179" i="6" s="1"/>
  <c r="H4214" i="6"/>
  <c r="I4214" i="6" s="1"/>
  <c r="H4374" i="6"/>
  <c r="I4374" i="6" s="1"/>
  <c r="H4606" i="6"/>
  <c r="I4606" i="6" s="1"/>
  <c r="H7366" i="6"/>
  <c r="I7366" i="6" s="1"/>
  <c r="H7384" i="6"/>
  <c r="I7384" i="6" s="1"/>
  <c r="I7387" i="6" s="1"/>
  <c r="H7402" i="6"/>
  <c r="I7402" i="6" s="1"/>
  <c r="I7405" i="6" s="1"/>
  <c r="H7423" i="6"/>
  <c r="I7423" i="6" s="1"/>
  <c r="H7441" i="6"/>
  <c r="I7441" i="6" s="1"/>
  <c r="H7459" i="6"/>
  <c r="I7459" i="6" s="1"/>
  <c r="I7462" i="6" s="1"/>
  <c r="H7498" i="6"/>
  <c r="I7498" i="6" s="1"/>
  <c r="H7557" i="6"/>
  <c r="I7557" i="6" s="1"/>
  <c r="H7637" i="6"/>
  <c r="I7637" i="6" s="1"/>
  <c r="I7640" i="6" s="1"/>
  <c r="H7655" i="6"/>
  <c r="I7655" i="6" s="1"/>
  <c r="H7673" i="6"/>
  <c r="I7673" i="6" s="1"/>
  <c r="H7691" i="6"/>
  <c r="I7691" i="6" s="1"/>
  <c r="H7709" i="6"/>
  <c r="I7709" i="6" s="1"/>
  <c r="I7712" i="6" s="1"/>
  <c r="H7727" i="6"/>
  <c r="I7727" i="6" s="1"/>
  <c r="H7745" i="6"/>
  <c r="I7745" i="6" s="1"/>
  <c r="I7748" i="6" s="1"/>
  <c r="H7763" i="6"/>
  <c r="I7763" i="6" s="1"/>
  <c r="H7781" i="6"/>
  <c r="I7781" i="6" s="1"/>
  <c r="I7784" i="6" s="1"/>
  <c r="H7799" i="6"/>
  <c r="I7799" i="6" s="1"/>
  <c r="H7817" i="6"/>
  <c r="I7817" i="6" s="1"/>
  <c r="I7820" i="6" s="1"/>
  <c r="H7835" i="6"/>
  <c r="I7835" i="6" s="1"/>
  <c r="H7853" i="6"/>
  <c r="I7853" i="6" s="1"/>
  <c r="I7856" i="6" s="1"/>
  <c r="H7871" i="6"/>
  <c r="I7871" i="6" s="1"/>
  <c r="H612" i="6"/>
  <c r="I612" i="6" s="1"/>
  <c r="H691" i="6"/>
  <c r="I691" i="6" s="1"/>
  <c r="I694" i="6" s="1"/>
  <c r="H752" i="6"/>
  <c r="I752" i="6" s="1"/>
  <c r="I755" i="6" s="1"/>
  <c r="H914" i="6"/>
  <c r="I914" i="6" s="1"/>
  <c r="H1336" i="6"/>
  <c r="I1336" i="6" s="1"/>
  <c r="I1341" i="6" s="1"/>
  <c r="H1662" i="6"/>
  <c r="I1662" i="6" s="1"/>
  <c r="H1765" i="6"/>
  <c r="I1765" i="6" s="1"/>
  <c r="I1769" i="6" s="1"/>
  <c r="I1774" i="6" s="1"/>
  <c r="H2040" i="6"/>
  <c r="I2040" i="6" s="1"/>
  <c r="I2043" i="6" s="1"/>
  <c r="I2048" i="6" s="1"/>
  <c r="H2145" i="6"/>
  <c r="I2145" i="6" s="1"/>
  <c r="H2203" i="6"/>
  <c r="I2203" i="6" s="1"/>
  <c r="H2254" i="6"/>
  <c r="I2254" i="6" s="1"/>
  <c r="I2257" i="6" s="1"/>
  <c r="I2263" i="6" s="1"/>
  <c r="H2271" i="6"/>
  <c r="I2271" i="6" s="1"/>
  <c r="I2274" i="6" s="1"/>
  <c r="H2668" i="6"/>
  <c r="I2668" i="6" s="1"/>
  <c r="I2671" i="6" s="1"/>
  <c r="H2842" i="6"/>
  <c r="I2842" i="6" s="1"/>
  <c r="H3019" i="6"/>
  <c r="I3019" i="6" s="1"/>
  <c r="I3022" i="6" s="1"/>
  <c r="H3131" i="6"/>
  <c r="I3131" i="6" s="1"/>
  <c r="I3134" i="6" s="1"/>
  <c r="H3279" i="6"/>
  <c r="I3279" i="6" s="1"/>
  <c r="H3530" i="6"/>
  <c r="I3530" i="6" s="1"/>
  <c r="H3547" i="6"/>
  <c r="I3547" i="6" s="1"/>
  <c r="I3550" i="6" s="1"/>
  <c r="H3659" i="6"/>
  <c r="I3659" i="6" s="1"/>
  <c r="I3662" i="6" s="1"/>
  <c r="H3819" i="6"/>
  <c r="I3819" i="6" s="1"/>
  <c r="I3822" i="6" s="1"/>
  <c r="H3996" i="6"/>
  <c r="I3996" i="6" s="1"/>
  <c r="H4156" i="6"/>
  <c r="I4156" i="6" s="1"/>
  <c r="H4194" i="6"/>
  <c r="I4194" i="6" s="1"/>
  <c r="H4354" i="6"/>
  <c r="I4354" i="6" s="1"/>
  <c r="I4357" i="6" s="1"/>
  <c r="H4586" i="6"/>
  <c r="I4586" i="6" s="1"/>
  <c r="H4725" i="6"/>
  <c r="I4725" i="6" s="1"/>
  <c r="H4796" i="6"/>
  <c r="I4796" i="6" s="1"/>
  <c r="H7269" i="6"/>
  <c r="I7269" i="6" s="1"/>
  <c r="H7287" i="6"/>
  <c r="I7287" i="6" s="1"/>
  <c r="H7326" i="6"/>
  <c r="I7326" i="6" s="1"/>
  <c r="I7329" i="6" s="1"/>
  <c r="I7338" i="6" s="1"/>
  <c r="H1851" i="6"/>
  <c r="I1851" i="6" s="1"/>
  <c r="H98" i="6"/>
  <c r="I98" i="6" s="1"/>
  <c r="I101" i="6" s="1"/>
  <c r="H574" i="6"/>
  <c r="I574" i="6" s="1"/>
  <c r="I577" i="6" s="1"/>
  <c r="H651" i="6"/>
  <c r="I651" i="6" s="1"/>
  <c r="I654" i="6" s="1"/>
  <c r="H731" i="6"/>
  <c r="I731" i="6" s="1"/>
  <c r="I734" i="6" s="1"/>
  <c r="H814" i="6"/>
  <c r="I814" i="6" s="1"/>
  <c r="H894" i="6"/>
  <c r="I894" i="6" s="1"/>
  <c r="H974" i="6"/>
  <c r="I974" i="6" s="1"/>
  <c r="H1533" i="6"/>
  <c r="I1533" i="6" s="1"/>
  <c r="H1580" i="6"/>
  <c r="I1580" i="6" s="1"/>
  <c r="H1782" i="6"/>
  <c r="I1782" i="6" s="1"/>
  <c r="H2164" i="6"/>
  <c r="I2164" i="6" s="1"/>
  <c r="I2167" i="6" s="1"/>
  <c r="H2687" i="6"/>
  <c r="I2687" i="6" s="1"/>
  <c r="H2725" i="6"/>
  <c r="I2725" i="6" s="1"/>
  <c r="I2728" i="6" s="1"/>
  <c r="H2763" i="6"/>
  <c r="I2763" i="6" s="1"/>
  <c r="I2766" i="6" s="1"/>
  <c r="H2822" i="6"/>
  <c r="I2822" i="6" s="1"/>
  <c r="H2902" i="6"/>
  <c r="I2902" i="6" s="1"/>
  <c r="I2905" i="6" s="1"/>
  <c r="H3095" i="6"/>
  <c r="I3095" i="6" s="1"/>
  <c r="I3098" i="6" s="1"/>
  <c r="H3167" i="6"/>
  <c r="I3167" i="6" s="1"/>
  <c r="I3170" i="6" s="1"/>
  <c r="H3222" i="6"/>
  <c r="I3222" i="6" s="1"/>
  <c r="I3225" i="6" s="1"/>
  <c r="H3260" i="6"/>
  <c r="I3260" i="6" s="1"/>
  <c r="H3315" i="6"/>
  <c r="I3315" i="6" s="1"/>
  <c r="I3318" i="6" s="1"/>
  <c r="H3442" i="6"/>
  <c r="I3442" i="6" s="1"/>
  <c r="H3564" i="6"/>
  <c r="I3564" i="6" s="1"/>
  <c r="I3567" i="6" s="1"/>
  <c r="H3699" i="6"/>
  <c r="I3699" i="6" s="1"/>
  <c r="H3779" i="6"/>
  <c r="I3779" i="6" s="1"/>
  <c r="I3782" i="6" s="1"/>
  <c r="H3859" i="6"/>
  <c r="I3859" i="6" s="1"/>
  <c r="H3917" i="6"/>
  <c r="I3917" i="6" s="1"/>
  <c r="H3976" i="6"/>
  <c r="I3976" i="6" s="1"/>
  <c r="H4056" i="6"/>
  <c r="I4056" i="6" s="1"/>
  <c r="H4136" i="6"/>
  <c r="I4136" i="6" s="1"/>
  <c r="I4139" i="6" s="1"/>
  <c r="H4254" i="6"/>
  <c r="I4254" i="6" s="1"/>
  <c r="H4334" i="6"/>
  <c r="I4334" i="6" s="1"/>
  <c r="H4414" i="6"/>
  <c r="I4414" i="6" s="1"/>
  <c r="H4566" i="6"/>
  <c r="I4566" i="6" s="1"/>
  <c r="H4646" i="6"/>
  <c r="I4646" i="6" s="1"/>
  <c r="I4649" i="6" s="1"/>
  <c r="H4667" i="6"/>
  <c r="I4667" i="6" s="1"/>
  <c r="I4670" i="6" s="1"/>
  <c r="H4743" i="6"/>
  <c r="I4743" i="6" s="1"/>
  <c r="I4746" i="6" s="1"/>
  <c r="H7306" i="6"/>
  <c r="I7306" i="6" s="1"/>
  <c r="H7579" i="6"/>
  <c r="I7579" i="6" s="1"/>
  <c r="I7582" i="6" s="1"/>
  <c r="H7911" i="6"/>
  <c r="I7911" i="6" s="1"/>
  <c r="H7932" i="6"/>
  <c r="I7932" i="6" s="1"/>
  <c r="I7935" i="6" s="1"/>
  <c r="H555" i="6"/>
  <c r="I555" i="6" s="1"/>
  <c r="I558" i="6" s="1"/>
  <c r="H631" i="6"/>
  <c r="I631" i="6" s="1"/>
  <c r="I634" i="6" s="1"/>
  <c r="I643" i="6" s="1"/>
  <c r="H792" i="6"/>
  <c r="I792" i="6" s="1"/>
  <c r="H874" i="6"/>
  <c r="I874" i="6" s="1"/>
  <c r="I877" i="6" s="1"/>
  <c r="H954" i="6"/>
  <c r="I954" i="6" s="1"/>
  <c r="H1310" i="6"/>
  <c r="I1310" i="6" s="1"/>
  <c r="H1560" i="6"/>
  <c r="I1560" i="6" s="1"/>
  <c r="H1640" i="6"/>
  <c r="I1640" i="6" s="1"/>
  <c r="H1682" i="6"/>
  <c r="I1682" i="6" s="1"/>
  <c r="H1958" i="6"/>
  <c r="I1958" i="6" s="1"/>
  <c r="H1976" i="6"/>
  <c r="I1976" i="6" s="1"/>
  <c r="H1994" i="6"/>
  <c r="I1994" i="6" s="1"/>
  <c r="H2092" i="6"/>
  <c r="I2092" i="6" s="1"/>
  <c r="I2095" i="6" s="1"/>
  <c r="I2101" i="6" s="1"/>
  <c r="H2109" i="6"/>
  <c r="I2109" i="6" s="1"/>
  <c r="I2112" i="6" s="1"/>
  <c r="I2118" i="6" s="1"/>
  <c r="H2126" i="6"/>
  <c r="I2126" i="6" s="1"/>
  <c r="H2553" i="6"/>
  <c r="I2553" i="6" s="1"/>
  <c r="I2556" i="6" s="1"/>
  <c r="H2591" i="6"/>
  <c r="I2591" i="6" s="1"/>
  <c r="H2629" i="6"/>
  <c r="I2629" i="6" s="1"/>
  <c r="I2632" i="6" s="1"/>
  <c r="H2802" i="6"/>
  <c r="I2802" i="6" s="1"/>
  <c r="H2882" i="6"/>
  <c r="I2882" i="6" s="1"/>
  <c r="I2885" i="6" s="1"/>
  <c r="H2962" i="6"/>
  <c r="I2962" i="6" s="1"/>
  <c r="I2965" i="6" s="1"/>
  <c r="H3000" i="6"/>
  <c r="I3000" i="6" s="1"/>
  <c r="I3003" i="6" s="1"/>
  <c r="H3038" i="6"/>
  <c r="I3038" i="6" s="1"/>
  <c r="H3113" i="6"/>
  <c r="I3113" i="6" s="1"/>
  <c r="I3116" i="6" s="1"/>
  <c r="H3185" i="6"/>
  <c r="I3185" i="6" s="1"/>
  <c r="H3333" i="6"/>
  <c r="I3333" i="6" s="1"/>
  <c r="I3336" i="6" s="1"/>
  <c r="H3388" i="6"/>
  <c r="I3388" i="6" s="1"/>
  <c r="H3460" i="6"/>
  <c r="I3460" i="6" s="1"/>
  <c r="H3582" i="6"/>
  <c r="I3582" i="6" s="1"/>
  <c r="I3585" i="6" s="1"/>
  <c r="H3620" i="6"/>
  <c r="I3620" i="6" s="1"/>
  <c r="I3623" i="6" s="1"/>
  <c r="H3679" i="6"/>
  <c r="I3679" i="6" s="1"/>
  <c r="H3759" i="6"/>
  <c r="I3759" i="6" s="1"/>
  <c r="H3839" i="6"/>
  <c r="I3839" i="6" s="1"/>
  <c r="I3842" i="6" s="1"/>
  <c r="H3956" i="6"/>
  <c r="I3956" i="6" s="1"/>
  <c r="H4036" i="6"/>
  <c r="I4036" i="6" s="1"/>
  <c r="H4116" i="6"/>
  <c r="I4116" i="6" s="1"/>
  <c r="I4119" i="6" s="1"/>
  <c r="H4234" i="6"/>
  <c r="I4234" i="6" s="1"/>
  <c r="H4314" i="6"/>
  <c r="I4314" i="6" s="1"/>
  <c r="I4317" i="6" s="1"/>
  <c r="H4394" i="6"/>
  <c r="I4394" i="6" s="1"/>
  <c r="H4546" i="6"/>
  <c r="I4546" i="6" s="1"/>
  <c r="H4626" i="6"/>
  <c r="I4626" i="6" s="1"/>
  <c r="I4629" i="6" s="1"/>
  <c r="H4706" i="6"/>
  <c r="I4706" i="6" s="1"/>
  <c r="I4709" i="6" s="1"/>
  <c r="H4761" i="6"/>
  <c r="I4761" i="6" s="1"/>
  <c r="H4778" i="6"/>
  <c r="I4778" i="6" s="1"/>
  <c r="I4781" i="6" s="1"/>
  <c r="H7346" i="6"/>
  <c r="I7346" i="6" s="1"/>
  <c r="H7601" i="6"/>
  <c r="I7601" i="6" s="1"/>
  <c r="H7619" i="6"/>
  <c r="I7619" i="6" s="1"/>
  <c r="H7891" i="6"/>
  <c r="I7891" i="6" s="1"/>
  <c r="H8038" i="6"/>
  <c r="I8038" i="6" s="1"/>
  <c r="H8020" i="6"/>
  <c r="I8020" i="6" s="1"/>
  <c r="H8002" i="6"/>
  <c r="I8002" i="6" s="1"/>
  <c r="H8055" i="6"/>
  <c r="I8055" i="6" s="1"/>
  <c r="I8056" i="6" s="1"/>
  <c r="I8063" i="6" s="1"/>
  <c r="I8064" i="6" s="1"/>
  <c r="I8065" i="6" s="1"/>
  <c r="J8050" i="6" s="1"/>
  <c r="G460" i="7" s="1"/>
  <c r="H7978" i="6"/>
  <c r="I7978" i="6" s="1"/>
  <c r="H5095" i="6"/>
  <c r="I5095" i="6" s="1"/>
  <c r="H5113" i="6"/>
  <c r="I5113" i="6" s="1"/>
  <c r="H5037" i="6"/>
  <c r="I5037" i="6" s="1"/>
  <c r="E43" i="4"/>
  <c r="F60" i="12"/>
  <c r="E43" i="11"/>
  <c r="C17" i="9"/>
  <c r="C18" i="9" s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K14" i="9"/>
  <c r="H5035" i="6"/>
  <c r="I5035" i="6" s="1"/>
  <c r="L33" i="9"/>
  <c r="K33" i="9" s="1"/>
  <c r="H7977" i="6"/>
  <c r="I7977" i="6" s="1"/>
  <c r="H8037" i="6"/>
  <c r="I8037" i="6" s="1"/>
  <c r="I8039" i="6" s="1"/>
  <c r="I8046" i="6" s="1"/>
  <c r="I8047" i="6" s="1"/>
  <c r="I8048" i="6" s="1"/>
  <c r="J8032" i="6" s="1"/>
  <c r="G459" i="7" s="1"/>
  <c r="H8019" i="6"/>
  <c r="I8019" i="6" s="1"/>
  <c r="I8021" i="6" s="1"/>
  <c r="I8028" i="6" s="1"/>
  <c r="I8029" i="6" s="1"/>
  <c r="I8030" i="6" s="1"/>
  <c r="J8014" i="6" s="1"/>
  <c r="G458" i="7" s="1"/>
  <c r="H8001" i="6"/>
  <c r="I8001" i="6" s="1"/>
  <c r="H5036" i="6"/>
  <c r="I5036" i="6" s="1"/>
  <c r="H5094" i="6"/>
  <c r="I5094" i="6" s="1"/>
  <c r="H5112" i="6"/>
  <c r="I5112" i="6" s="1"/>
  <c r="K15" i="9"/>
  <c r="H5093" i="6"/>
  <c r="I5093" i="6" s="1"/>
  <c r="H5111" i="6"/>
  <c r="I5111" i="6" s="1"/>
  <c r="K27" i="9"/>
  <c r="B155" i="8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69" i="8" s="1"/>
  <c r="B170" i="8" s="1"/>
  <c r="B171" i="8" s="1"/>
  <c r="B172" i="8" s="1"/>
  <c r="B173" i="8" s="1"/>
  <c r="B174" i="8" s="1"/>
  <c r="B175" i="8" s="1"/>
  <c r="B176" i="8" s="1"/>
  <c r="B177" i="8" s="1"/>
  <c r="B178" i="8" s="1"/>
  <c r="B179" i="8" s="1"/>
  <c r="B180" i="8" s="1"/>
  <c r="B181" i="8" s="1"/>
  <c r="B288" i="7"/>
  <c r="B289" i="7" s="1"/>
  <c r="B290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I1812" i="6"/>
  <c r="I3174" i="6"/>
  <c r="I3084" i="6"/>
  <c r="I3431" i="6"/>
  <c r="I4459" i="6"/>
  <c r="I5266" i="6"/>
  <c r="I2463" i="6"/>
  <c r="I3045" i="6"/>
  <c r="H3047" i="6" s="1"/>
  <c r="I3047" i="6" s="1"/>
  <c r="I615" i="6"/>
  <c r="I1227" i="6"/>
  <c r="I5482" i="6"/>
  <c r="I5833" i="6"/>
  <c r="I7430" i="6"/>
  <c r="I7626" i="6"/>
  <c r="I246" i="6"/>
  <c r="I698" i="6"/>
  <c r="I3322" i="6"/>
  <c r="I3848" i="6"/>
  <c r="I3906" i="6"/>
  <c r="I6110" i="6"/>
  <c r="I155" i="6"/>
  <c r="I1665" i="6"/>
  <c r="I3449" i="6"/>
  <c r="I2845" i="6"/>
  <c r="I3552" i="6"/>
  <c r="I3553" i="6" s="1"/>
  <c r="I1258" i="6"/>
  <c r="I3708" i="6"/>
  <c r="I4105" i="6"/>
  <c r="I4732" i="6"/>
  <c r="I5590" i="6"/>
  <c r="I6451" i="6"/>
  <c r="I5210" i="6"/>
  <c r="I5280" i="6"/>
  <c r="I5870" i="6"/>
  <c r="I5446" i="6"/>
  <c r="I6151" i="6"/>
  <c r="I7487" i="6"/>
  <c r="I4039" i="6"/>
  <c r="I1918" i="6"/>
  <c r="I3286" i="6"/>
  <c r="I3304" i="6"/>
  <c r="I3409" i="6"/>
  <c r="I4223" i="6"/>
  <c r="I4343" i="6"/>
  <c r="I4916" i="6"/>
  <c r="I67" i="6"/>
  <c r="I620" i="6"/>
  <c r="I1299" i="6"/>
  <c r="I2279" i="6"/>
  <c r="I3102" i="6"/>
  <c r="I3156" i="6"/>
  <c r="I3358" i="6"/>
  <c r="I3395" i="6"/>
  <c r="I4165" i="6"/>
  <c r="I4243" i="6"/>
  <c r="I4441" i="6"/>
  <c r="I4817" i="6"/>
  <c r="I4859" i="6"/>
  <c r="H4861" i="6" s="1"/>
  <c r="I4861" i="6" s="1"/>
  <c r="I4862" i="6" s="1"/>
  <c r="I4970" i="6"/>
  <c r="I5302" i="6"/>
  <c r="I5848" i="6"/>
  <c r="I35" i="6"/>
  <c r="I472" i="6"/>
  <c r="I478" i="6" s="1"/>
  <c r="I674" i="6"/>
  <c r="I720" i="6"/>
  <c r="I837" i="6"/>
  <c r="I2637" i="6"/>
  <c r="I2695" i="6"/>
  <c r="I2714" i="6"/>
  <c r="I3768" i="6"/>
  <c r="I3945" i="6"/>
  <c r="I4303" i="6"/>
  <c r="I4555" i="6"/>
  <c r="I4635" i="6"/>
  <c r="I216" i="6"/>
  <c r="I917" i="6"/>
  <c r="I1272" i="6"/>
  <c r="I2657" i="6"/>
  <c r="I2676" i="6"/>
  <c r="I2791" i="6"/>
  <c r="I2871" i="6"/>
  <c r="I3120" i="6"/>
  <c r="I3427" i="6"/>
  <c r="I3519" i="6"/>
  <c r="I4025" i="6"/>
  <c r="I4323" i="6"/>
  <c r="I4656" i="6"/>
  <c r="I5410" i="6"/>
  <c r="I5424" i="6"/>
  <c r="I5568" i="6"/>
  <c r="I5756" i="6"/>
  <c r="I7412" i="6"/>
  <c r="I5080" i="6"/>
  <c r="I5374" i="6"/>
  <c r="I5518" i="6"/>
  <c r="I5852" i="6"/>
  <c r="I6012" i="6"/>
  <c r="I6052" i="6"/>
  <c r="I6318" i="6"/>
  <c r="I7200" i="6"/>
  <c r="H7661" i="6"/>
  <c r="I7661" i="6" s="1"/>
  <c r="I7662" i="6" s="1"/>
  <c r="I5139" i="6"/>
  <c r="I5626" i="6"/>
  <c r="I6264" i="6"/>
  <c r="I7257" i="6"/>
  <c r="I7590" i="6"/>
  <c r="I7122" i="6"/>
  <c r="I7426" i="6"/>
  <c r="I7676" i="6"/>
  <c r="T446" i="1"/>
  <c r="AE440" i="1" s="1"/>
  <c r="E46" i="5" s="1"/>
  <c r="I117" i="6"/>
  <c r="I311" i="6"/>
  <c r="I1629" i="6"/>
  <c r="I1351" i="6"/>
  <c r="I251" i="6"/>
  <c r="I230" i="6"/>
  <c r="I263" i="6"/>
  <c r="I269" i="6" s="1"/>
  <c r="I489" i="6"/>
  <c r="I1131" i="6"/>
  <c r="I2297" i="6"/>
  <c r="I2408" i="6"/>
  <c r="I2445" i="6"/>
  <c r="I3230" i="6"/>
  <c r="I3609" i="6"/>
  <c r="I3682" i="6"/>
  <c r="I199" i="6"/>
  <c r="I582" i="6"/>
  <c r="I660" i="6"/>
  <c r="I740" i="6"/>
  <c r="I903" i="6"/>
  <c r="I1026" i="6"/>
  <c r="I1438" i="6"/>
  <c r="I1569" i="6"/>
  <c r="I2427" i="6"/>
  <c r="I2536" i="6"/>
  <c r="I2544" i="6" s="1"/>
  <c r="I2561" i="6"/>
  <c r="I173" i="6"/>
  <c r="I178" i="6" s="1"/>
  <c r="I2316" i="6"/>
  <c r="I2811" i="6"/>
  <c r="I234" i="6"/>
  <c r="I563" i="6"/>
  <c r="I640" i="6"/>
  <c r="I823" i="6"/>
  <c r="I983" i="6"/>
  <c r="I1169" i="6"/>
  <c r="I1325" i="6"/>
  <c r="I1865" i="6"/>
  <c r="I2016" i="6"/>
  <c r="I2019" i="6" s="1"/>
  <c r="I2133" i="6"/>
  <c r="I2172" i="6"/>
  <c r="I2389" i="6"/>
  <c r="I2513" i="6"/>
  <c r="I2618" i="6"/>
  <c r="I2752" i="6"/>
  <c r="I3467" i="6"/>
  <c r="I3569" i="6"/>
  <c r="I3570" i="6" s="1"/>
  <c r="I3788" i="6"/>
  <c r="I4005" i="6"/>
  <c r="I2951" i="6"/>
  <c r="I4383" i="6"/>
  <c r="I6170" i="6"/>
  <c r="I3025" i="6"/>
  <c r="I3026" i="6" s="1"/>
  <c r="H3028" i="6" s="1"/>
  <c r="I3028" i="6" s="1"/>
  <c r="I3138" i="6"/>
  <c r="I3728" i="6"/>
  <c r="I3748" i="6"/>
  <c r="I3985" i="6"/>
  <c r="I4183" i="6"/>
  <c r="I4263" i="6"/>
  <c r="I5943" i="6"/>
  <c r="I6130" i="6"/>
  <c r="I3268" i="6"/>
  <c r="I3413" i="6"/>
  <c r="I3590" i="6"/>
  <c r="I3648" i="6"/>
  <c r="I3808" i="6"/>
  <c r="I3959" i="6"/>
  <c r="I4065" i="6"/>
  <c r="I4085" i="6"/>
  <c r="I7315" i="6"/>
  <c r="I4145" i="6"/>
  <c r="I4515" i="6"/>
  <c r="I4615" i="6"/>
  <c r="I4878" i="6"/>
  <c r="H4880" i="6" s="1"/>
  <c r="I4880" i="6" s="1"/>
  <c r="I4881" i="6" s="1"/>
  <c r="I5392" i="6"/>
  <c r="I5536" i="6"/>
  <c r="I5644" i="6"/>
  <c r="I5777" i="6"/>
  <c r="I5796" i="6"/>
  <c r="I6413" i="6"/>
  <c r="I7942" i="6"/>
  <c r="I3925" i="6"/>
  <c r="I4045" i="6"/>
  <c r="I4283" i="6"/>
  <c r="I4423" i="6"/>
  <c r="I4695" i="6"/>
  <c r="I5006" i="6"/>
  <c r="I5338" i="6"/>
  <c r="I5554" i="6"/>
  <c r="I5700" i="6"/>
  <c r="I5718" i="6"/>
  <c r="I5770" i="6"/>
  <c r="I6034" i="6"/>
  <c r="I6354" i="6"/>
  <c r="I6727" i="6"/>
  <c r="I7012" i="6"/>
  <c r="I7049" i="6"/>
  <c r="I7085" i="6"/>
  <c r="I4535" i="6"/>
  <c r="I4595" i="6"/>
  <c r="I4676" i="6"/>
  <c r="I4714" i="6"/>
  <c r="I5980" i="6"/>
  <c r="I6246" i="6"/>
  <c r="I6282" i="6"/>
  <c r="I6394" i="6"/>
  <c r="I6431" i="6"/>
  <c r="I3887" i="6"/>
  <c r="I4988" i="6"/>
  <c r="I5229" i="6"/>
  <c r="I6189" i="6"/>
  <c r="I6227" i="6"/>
  <c r="I6336" i="6"/>
  <c r="I6374" i="6"/>
  <c r="I6723" i="6"/>
  <c r="I6763" i="6"/>
  <c r="I6850" i="6"/>
  <c r="I6942" i="6"/>
  <c r="I6978" i="6"/>
  <c r="I7031" i="6"/>
  <c r="I7568" i="6"/>
  <c r="I6706" i="6"/>
  <c r="I6712" i="6" s="1"/>
  <c r="I7181" i="6"/>
  <c r="I7239" i="6"/>
  <c r="I7507" i="6"/>
  <c r="I7546" i="6"/>
  <c r="I7900" i="6"/>
  <c r="K26" i="9"/>
  <c r="L31" i="9"/>
  <c r="I415" i="6"/>
  <c r="I420" i="6" s="1"/>
  <c r="I977" i="6"/>
  <c r="I1164" i="6"/>
  <c r="I1280" i="6"/>
  <c r="I1786" i="6"/>
  <c r="I1791" i="6" s="1"/>
  <c r="I2384" i="6"/>
  <c r="I21" i="6"/>
  <c r="I86" i="6"/>
  <c r="I141" i="6"/>
  <c r="I189" i="6"/>
  <c r="I318" i="6"/>
  <c r="I387" i="6"/>
  <c r="I392" i="6" s="1"/>
  <c r="I761" i="6"/>
  <c r="I781" i="6"/>
  <c r="I857" i="6"/>
  <c r="I883" i="6"/>
  <c r="I923" i="6"/>
  <c r="I943" i="6"/>
  <c r="I1091" i="6"/>
  <c r="I1150" i="6"/>
  <c r="I1183" i="6"/>
  <c r="I1213" i="6"/>
  <c r="I1235" i="6"/>
  <c r="I1467" i="6"/>
  <c r="I1589" i="6"/>
  <c r="I1609" i="6"/>
  <c r="I1623" i="6"/>
  <c r="I1735" i="6"/>
  <c r="I1740" i="6" s="1"/>
  <c r="I2064" i="6"/>
  <c r="I2153" i="6"/>
  <c r="I2477" i="6"/>
  <c r="I2484" i="6" s="1"/>
  <c r="I2599" i="6"/>
  <c r="I211" i="6"/>
  <c r="I2206" i="6"/>
  <c r="I2212" i="6" s="1"/>
  <c r="I294" i="6"/>
  <c r="I300" i="6" s="1"/>
  <c r="I45" i="6"/>
  <c r="I161" i="6"/>
  <c r="I444" i="6"/>
  <c r="I449" i="6" s="1"/>
  <c r="I494" i="6"/>
  <c r="I506" i="6"/>
  <c r="I512" i="6" s="1"/>
  <c r="I521" i="6"/>
  <c r="I527" i="6" s="1"/>
  <c r="I544" i="6"/>
  <c r="I601" i="6"/>
  <c r="I680" i="6"/>
  <c r="I801" i="6"/>
  <c r="I843" i="6"/>
  <c r="I863" i="6"/>
  <c r="I963" i="6"/>
  <c r="I1004" i="6"/>
  <c r="I1095" i="6"/>
  <c r="I1113" i="6"/>
  <c r="I1191" i="6"/>
  <c r="I1205" i="6"/>
  <c r="I1380" i="6"/>
  <c r="I1409" i="6"/>
  <c r="I1496" i="6"/>
  <c r="I1522" i="6"/>
  <c r="I1548" i="6"/>
  <c r="I1603" i="6"/>
  <c r="I1651" i="6"/>
  <c r="I1671" i="6"/>
  <c r="I1674" i="6" s="1"/>
  <c r="I1692" i="6"/>
  <c r="I1858" i="6"/>
  <c r="I2030" i="6"/>
  <c r="I2033" i="6" s="1"/>
  <c r="I2078" i="6"/>
  <c r="I2083" i="6" s="1"/>
  <c r="I2148" i="6"/>
  <c r="I2520" i="6"/>
  <c r="I2522" i="6" s="1"/>
  <c r="I2580" i="6"/>
  <c r="I2984" i="6"/>
  <c r="I3939" i="6"/>
  <c r="I1074" i="6"/>
  <c r="I1080" i="6" s="1"/>
  <c r="I2831" i="6"/>
  <c r="I2891" i="6"/>
  <c r="I2989" i="6"/>
  <c r="I3008" i="6"/>
  <c r="I3152" i="6"/>
  <c r="I3211" i="6"/>
  <c r="I3249" i="6"/>
  <c r="I3354" i="6"/>
  <c r="I3377" i="6"/>
  <c r="I3498" i="6"/>
  <c r="I3504" i="6" s="1"/>
  <c r="I3668" i="6"/>
  <c r="I3828" i="6"/>
  <c r="I4019" i="6"/>
  <c r="I4125" i="6"/>
  <c r="I4257" i="6"/>
  <c r="I1249" i="6"/>
  <c r="I2825" i="6"/>
  <c r="I2851" i="6"/>
  <c r="I2911" i="6"/>
  <c r="I2925" i="6"/>
  <c r="I2970" i="6"/>
  <c r="I3041" i="6"/>
  <c r="I3722" i="6"/>
  <c r="I4099" i="6"/>
  <c r="I4203" i="6"/>
  <c r="I4363" i="6"/>
  <c r="I4377" i="6"/>
  <c r="I81" i="6"/>
  <c r="I401" i="6"/>
  <c r="I406" i="6" s="1"/>
  <c r="I1145" i="6"/>
  <c r="I1425" i="6"/>
  <c r="I2733" i="6"/>
  <c r="I2771" i="6"/>
  <c r="I2931" i="6"/>
  <c r="I2945" i="6"/>
  <c r="I3066" i="6"/>
  <c r="I3192" i="6"/>
  <c r="I3263" i="6"/>
  <c r="I3340" i="6"/>
  <c r="I3628" i="6"/>
  <c r="I3688" i="6"/>
  <c r="I3868" i="6"/>
  <c r="I3965" i="6"/>
  <c r="I3979" i="6"/>
  <c r="I4337" i="6"/>
  <c r="I4403" i="6"/>
  <c r="I4893" i="6"/>
  <c r="I5154" i="6"/>
  <c r="I5160" i="6" s="1"/>
  <c r="I5171" i="6"/>
  <c r="I5177" i="6" s="1"/>
  <c r="I5262" i="6"/>
  <c r="I5442" i="6"/>
  <c r="I5752" i="6"/>
  <c r="I5759" i="6" s="1"/>
  <c r="I6878" i="6"/>
  <c r="I6884" i="6" s="1"/>
  <c r="I4785" i="6"/>
  <c r="I4803" i="6"/>
  <c r="I4821" i="6"/>
  <c r="H4823" i="6" s="1"/>
  <c r="I4823" i="6" s="1"/>
  <c r="I4824" i="6" s="1"/>
  <c r="I4897" i="6"/>
  <c r="I4912" i="6"/>
  <c r="I5024" i="6"/>
  <c r="I5062" i="6"/>
  <c r="I5284" i="6"/>
  <c r="I5428" i="6"/>
  <c r="I5572" i="6"/>
  <c r="I5736" i="6"/>
  <c r="I5814" i="6"/>
  <c r="I6621" i="6"/>
  <c r="I6627" i="6" s="1"/>
  <c r="I6638" i="6"/>
  <c r="I6644" i="6" s="1"/>
  <c r="I6863" i="6"/>
  <c r="I6869" i="6" s="1"/>
  <c r="I4477" i="6"/>
  <c r="I4495" i="6"/>
  <c r="I4750" i="6"/>
  <c r="I4840" i="6"/>
  <c r="H4842" i="6" s="1"/>
  <c r="I4842" i="6" s="1"/>
  <c r="I4843" i="6" s="1"/>
  <c r="I4855" i="6"/>
  <c r="I4934" i="6"/>
  <c r="I4966" i="6"/>
  <c r="I5243" i="6"/>
  <c r="I5320" i="6"/>
  <c r="I5334" i="6"/>
  <c r="I5370" i="6"/>
  <c r="I5464" i="6"/>
  <c r="I5496" i="6"/>
  <c r="I5514" i="6"/>
  <c r="I5608" i="6"/>
  <c r="I5622" i="6"/>
  <c r="I6445" i="6"/>
  <c r="I6846" i="6"/>
  <c r="I4575" i="6"/>
  <c r="I4609" i="6"/>
  <c r="I4952" i="6"/>
  <c r="I4984" i="6"/>
  <c r="I5020" i="6"/>
  <c r="I5188" i="6"/>
  <c r="I5194" i="6" s="1"/>
  <c r="I5248" i="6"/>
  <c r="I5356" i="6"/>
  <c r="I5388" i="6"/>
  <c r="I5500" i="6"/>
  <c r="I5640" i="6"/>
  <c r="I5647" i="6" s="1"/>
  <c r="I5662" i="6"/>
  <c r="I5680" i="6"/>
  <c r="I5732" i="6"/>
  <c r="I5866" i="6"/>
  <c r="I5962" i="6"/>
  <c r="I6203" i="6"/>
  <c r="I6332" i="6"/>
  <c r="I7275" i="6"/>
  <c r="I7276" i="6" s="1"/>
  <c r="H7276" i="6"/>
  <c r="H7607" i="6"/>
  <c r="I7607" i="6" s="1"/>
  <c r="I7766" i="6"/>
  <c r="I5976" i="6"/>
  <c r="I6072" i="6"/>
  <c r="I6184" i="6"/>
  <c r="I6408" i="6"/>
  <c r="I6483" i="6"/>
  <c r="I6489" i="6" s="1"/>
  <c r="I7140" i="6"/>
  <c r="I7295" i="6"/>
  <c r="H7447" i="6"/>
  <c r="I7447" i="6" s="1"/>
  <c r="I7448" i="6" s="1"/>
  <c r="H7715" i="6"/>
  <c r="I7715" i="6" s="1"/>
  <c r="I5906" i="6"/>
  <c r="I6016" i="6"/>
  <c r="I6030" i="6"/>
  <c r="I6208" i="6"/>
  <c r="I6278" i="6"/>
  <c r="I6587" i="6"/>
  <c r="I6593" i="6" s="1"/>
  <c r="I6745" i="6"/>
  <c r="I6795" i="6"/>
  <c r="I6801" i="6" s="1"/>
  <c r="I7221" i="6"/>
  <c r="I7349" i="6"/>
  <c r="H7643" i="6"/>
  <c r="I7643" i="6" s="1"/>
  <c r="I7644" i="6" s="1"/>
  <c r="H7733" i="6"/>
  <c r="I7733" i="6" s="1"/>
  <c r="I7734" i="6" s="1"/>
  <c r="I5810" i="6"/>
  <c r="I5884" i="6"/>
  <c r="I5888" i="6"/>
  <c r="I5998" i="6"/>
  <c r="I6048" i="6"/>
  <c r="I6092" i="6"/>
  <c r="I6260" i="6"/>
  <c r="I6300" i="6"/>
  <c r="I6350" i="6"/>
  <c r="I6689" i="6"/>
  <c r="I6695" i="6" s="1"/>
  <c r="I6781" i="6"/>
  <c r="I6919" i="6"/>
  <c r="I6933" i="6"/>
  <c r="I7104" i="6"/>
  <c r="I7235" i="6"/>
  <c r="H7334" i="6"/>
  <c r="I7334" i="6" s="1"/>
  <c r="I7335" i="6" s="1"/>
  <c r="H7390" i="6"/>
  <c r="I7390" i="6" s="1"/>
  <c r="I7391" i="6" s="1"/>
  <c r="H7468" i="6"/>
  <c r="I7468" i="6" s="1"/>
  <c r="I7469" i="6" s="1"/>
  <c r="I7770" i="6"/>
  <c r="I5994" i="6"/>
  <c r="I6066" i="6"/>
  <c r="I6222" i="6"/>
  <c r="I6655" i="6"/>
  <c r="I6661" i="6" s="1"/>
  <c r="I7604" i="6"/>
  <c r="I7622" i="6"/>
  <c r="H7679" i="6"/>
  <c r="I7679" i="6" s="1"/>
  <c r="I7680" i="6" s="1"/>
  <c r="H7823" i="6"/>
  <c r="I7823" i="6" s="1"/>
  <c r="I7824" i="6" s="1"/>
  <c r="I6466" i="6"/>
  <c r="I6472" i="6" s="1"/>
  <c r="I6672" i="6"/>
  <c r="I6678" i="6" s="1"/>
  <c r="I6910" i="6"/>
  <c r="I7099" i="6"/>
  <c r="H7354" i="6"/>
  <c r="I7354" i="6" s="1"/>
  <c r="I7355" i="6" s="1"/>
  <c r="I7521" i="6"/>
  <c r="I7527" i="6" s="1"/>
  <c r="I7694" i="6"/>
  <c r="I7701" i="6" s="1"/>
  <c r="I7788" i="6"/>
  <c r="I7842" i="6"/>
  <c r="I7880" i="6"/>
  <c r="I7921" i="6"/>
  <c r="H7751" i="6"/>
  <c r="I7751" i="6" s="1"/>
  <c r="I7752" i="6" s="1"/>
  <c r="I7838" i="6"/>
  <c r="H7859" i="6"/>
  <c r="I7859" i="6" s="1"/>
  <c r="I7860" i="6" s="1"/>
  <c r="K40" i="9" l="1"/>
  <c r="I2690" i="6"/>
  <c r="I1538" i="6"/>
  <c r="H1959" i="6"/>
  <c r="I1959" i="6" s="1"/>
  <c r="H1904" i="6"/>
  <c r="I1904" i="6" s="1"/>
  <c r="I7560" i="6"/>
  <c r="I7045" i="6"/>
  <c r="I7080" i="6"/>
  <c r="H1977" i="6"/>
  <c r="I1977" i="6" s="1"/>
  <c r="H1995" i="6"/>
  <c r="I1995" i="6" s="1"/>
  <c r="I3282" i="6"/>
  <c r="I7501" i="6"/>
  <c r="I596" i="6"/>
  <c r="I2747" i="6"/>
  <c r="I5460" i="6"/>
  <c r="I5714" i="6"/>
  <c r="I6296" i="6"/>
  <c r="I6551" i="6"/>
  <c r="I6557" i="6" s="1"/>
  <c r="I7253" i="6"/>
  <c r="I5406" i="6"/>
  <c r="I1109" i="6"/>
  <c r="I5604" i="6"/>
  <c r="I3391" i="6"/>
  <c r="I2459" i="6"/>
  <c r="I2187" i="6"/>
  <c r="I1805" i="6"/>
  <c r="I1483" i="6"/>
  <c r="I2805" i="6"/>
  <c r="I6106" i="6"/>
  <c r="I3533" i="6"/>
  <c r="I3539" i="6" s="1"/>
  <c r="I4690" i="6"/>
  <c r="I6534" i="6"/>
  <c r="I6540" i="6" s="1"/>
  <c r="I3416" i="6"/>
  <c r="I4237" i="6"/>
  <c r="I3188" i="6"/>
  <c r="I7309" i="6"/>
  <c r="I4569" i="6"/>
  <c r="I3862" i="6"/>
  <c r="H1798" i="6"/>
  <c r="I1798" i="6" s="1"/>
  <c r="I4799" i="6"/>
  <c r="I7802" i="6"/>
  <c r="I7809" i="6" s="1"/>
  <c r="I7730" i="6"/>
  <c r="I7658" i="6"/>
  <c r="I3372" i="6"/>
  <c r="I5002" i="6"/>
  <c r="I5224" i="6"/>
  <c r="I2129" i="6"/>
  <c r="I817" i="6"/>
  <c r="I2865" i="6"/>
  <c r="I1454" i="6"/>
  <c r="I957" i="6"/>
  <c r="I2613" i="6"/>
  <c r="I6500" i="6"/>
  <c r="I6506" i="6" s="1"/>
  <c r="I4197" i="6"/>
  <c r="I7874" i="6"/>
  <c r="I4217" i="6"/>
  <c r="I4226" i="6" s="1"/>
  <c r="I7894" i="6"/>
  <c r="I3762" i="6"/>
  <c r="I3463" i="6"/>
  <c r="I1643" i="6"/>
  <c r="I4417" i="6"/>
  <c r="I4059" i="6"/>
  <c r="I4068" i="6" s="1"/>
  <c r="I4069" i="6" s="1"/>
  <c r="I4070" i="6" s="1"/>
  <c r="J4052" i="6" s="1"/>
  <c r="G232" i="7" s="1"/>
  <c r="I1583" i="6"/>
  <c r="I4728" i="6"/>
  <c r="I7444" i="6"/>
  <c r="I1685" i="6"/>
  <c r="I795" i="6"/>
  <c r="I7914" i="6"/>
  <c r="I3999" i="6"/>
  <c r="I7272" i="6"/>
  <c r="I4306" i="6"/>
  <c r="I4549" i="6"/>
  <c r="I4159" i="6"/>
  <c r="I7369" i="6"/>
  <c r="I7376" i="6" s="1"/>
  <c r="I7377" i="6" s="1"/>
  <c r="I7378" i="6" s="1"/>
  <c r="J7362" i="6" s="1"/>
  <c r="G422" i="7" s="1"/>
  <c r="I3831" i="6"/>
  <c r="I7945" i="6"/>
  <c r="K41" i="9"/>
  <c r="H1905" i="6"/>
  <c r="I1905" i="6" s="1"/>
  <c r="H1852" i="6"/>
  <c r="I1852" i="6" s="1"/>
  <c r="H1799" i="6"/>
  <c r="I1799" i="6" s="1"/>
  <c r="H1978" i="6"/>
  <c r="I1978" i="6" s="1"/>
  <c r="I1979" i="6" s="1"/>
  <c r="I1986" i="6" s="1"/>
  <c r="H1996" i="6"/>
  <c r="I1996" i="6" s="1"/>
  <c r="H1960" i="6"/>
  <c r="I1960" i="6" s="1"/>
  <c r="I1961" i="6" s="1"/>
  <c r="I1968" i="6" s="1"/>
  <c r="I5114" i="6"/>
  <c r="I7791" i="6"/>
  <c r="I7683" i="6"/>
  <c r="I7684" i="6" s="1"/>
  <c r="I7685" i="6" s="1"/>
  <c r="J7669" i="6" s="1"/>
  <c r="G438" i="7" s="1"/>
  <c r="I5431" i="6"/>
  <c r="I2854" i="6"/>
  <c r="F84" i="4"/>
  <c r="G84" i="4" s="1"/>
  <c r="F84" i="11"/>
  <c r="G84" i="11" s="1"/>
  <c r="G101" i="12"/>
  <c r="H101" i="12" s="1"/>
  <c r="I5096" i="6"/>
  <c r="I5103" i="6" s="1"/>
  <c r="I5104" i="6" s="1"/>
  <c r="I5105" i="6" s="1"/>
  <c r="J5089" i="6" s="1"/>
  <c r="G288" i="7" s="1"/>
  <c r="F54" i="11" s="1"/>
  <c r="I7979" i="6"/>
  <c r="I7992" i="6" s="1"/>
  <c r="I7993" i="6" s="1"/>
  <c r="I7994" i="6" s="1"/>
  <c r="J7972" i="6" s="1"/>
  <c r="I3909" i="6"/>
  <c r="I3910" i="6" s="1"/>
  <c r="I3911" i="6" s="1"/>
  <c r="J3894" i="6" s="1"/>
  <c r="G224" i="7" s="1"/>
  <c r="I604" i="6"/>
  <c r="I605" i="6" s="1"/>
  <c r="I606" i="6" s="1"/>
  <c r="J589" i="6" s="1"/>
  <c r="G47" i="7" s="1"/>
  <c r="E47" i="4"/>
  <c r="F64" i="12"/>
  <c r="E47" i="11"/>
  <c r="I8003" i="6"/>
  <c r="I8010" i="6" s="1"/>
  <c r="I8011" i="6" s="1"/>
  <c r="I8012" i="6" s="1"/>
  <c r="J7996" i="6" s="1"/>
  <c r="G457" i="7" s="1"/>
  <c r="F85" i="4"/>
  <c r="G85" i="4" s="1"/>
  <c r="G102" i="12"/>
  <c r="H102" i="12" s="1"/>
  <c r="F85" i="11"/>
  <c r="G85" i="11" s="1"/>
  <c r="I5124" i="6"/>
  <c r="I5125" i="6" s="1"/>
  <c r="I5126" i="6" s="1"/>
  <c r="J5107" i="6" s="1"/>
  <c r="G289" i="7" s="1"/>
  <c r="I7415" i="6"/>
  <c r="I4825" i="6"/>
  <c r="I4826" i="6" s="1"/>
  <c r="I4827" i="6" s="1"/>
  <c r="J4810" i="6" s="1"/>
  <c r="G271" i="7" s="1"/>
  <c r="I4088" i="6"/>
  <c r="I4089" i="6" s="1"/>
  <c r="I4090" i="6" s="1"/>
  <c r="J4072" i="6" s="1"/>
  <c r="G233" i="7" s="1"/>
  <c r="I70" i="6"/>
  <c r="B455" i="7"/>
  <c r="B456" i="7" s="1"/>
  <c r="B457" i="7" s="1"/>
  <c r="B458" i="7" s="1"/>
  <c r="B459" i="7" s="1"/>
  <c r="B460" i="7" s="1"/>
  <c r="G100" i="12"/>
  <c r="H100" i="12" s="1"/>
  <c r="F83" i="4"/>
  <c r="G83" i="4" s="1"/>
  <c r="F83" i="11"/>
  <c r="G83" i="11" s="1"/>
  <c r="I5038" i="6"/>
  <c r="I5045" i="6" s="1"/>
  <c r="I5046" i="6" s="1"/>
  <c r="I5047" i="6" s="1"/>
  <c r="J5031" i="6" s="1"/>
  <c r="G285" i="7" s="1"/>
  <c r="I4735" i="6"/>
  <c r="I7827" i="6"/>
  <c r="I7828" i="6" s="1"/>
  <c r="I7829" i="6" s="1"/>
  <c r="J7813" i="6" s="1"/>
  <c r="G446" i="7" s="1"/>
  <c r="I254" i="6"/>
  <c r="I255" i="6" s="1"/>
  <c r="I256" i="6" s="1"/>
  <c r="J241" i="6" s="1"/>
  <c r="G21" i="7" s="1"/>
  <c r="I4048" i="6"/>
  <c r="I6748" i="6"/>
  <c r="I6749" i="6" s="1"/>
  <c r="I6750" i="6" s="1"/>
  <c r="J6734" i="6" s="1"/>
  <c r="G384" i="7" s="1"/>
  <c r="I2736" i="6"/>
  <c r="I2737" i="6" s="1"/>
  <c r="I2738" i="6" s="1"/>
  <c r="J2721" i="6" s="1"/>
  <c r="G158" i="7" s="1"/>
  <c r="I3671" i="6"/>
  <c r="I3672" i="6" s="1"/>
  <c r="I3673" i="6" s="1"/>
  <c r="J3655" i="6" s="1"/>
  <c r="G212" i="7" s="1"/>
  <c r="I846" i="6"/>
  <c r="I4406" i="6"/>
  <c r="I4407" i="6" s="1"/>
  <c r="I4408" i="6" s="1"/>
  <c r="J4390" i="6" s="1"/>
  <c r="G249" i="7" s="1"/>
  <c r="I3011" i="6"/>
  <c r="I3012" i="6" s="1"/>
  <c r="I3013" i="6" s="1"/>
  <c r="J2996" i="6" s="1"/>
  <c r="G172" i="7" s="1"/>
  <c r="I24" i="6"/>
  <c r="I25" i="6" s="1"/>
  <c r="I26" i="6" s="1"/>
  <c r="J5" i="6" s="1"/>
  <c r="G10" i="7" s="1"/>
  <c r="I3968" i="6"/>
  <c r="I4498" i="6"/>
  <c r="I5575" i="6"/>
  <c r="I5576" i="6" s="1"/>
  <c r="I5577" i="6" s="1"/>
  <c r="J5561" i="6" s="1"/>
  <c r="G316" i="7" s="1"/>
  <c r="G455" i="7"/>
  <c r="I6357" i="6"/>
  <c r="I2466" i="6"/>
  <c r="I2467" i="6" s="1"/>
  <c r="I2468" i="6" s="1"/>
  <c r="J2452" i="6" s="1"/>
  <c r="G142" i="7" s="1"/>
  <c r="I701" i="6"/>
  <c r="I702" i="6" s="1"/>
  <c r="I703" i="6" s="1"/>
  <c r="J687" i="6" s="1"/>
  <c r="G52" i="7" s="1"/>
  <c r="I5485" i="6"/>
  <c r="I5269" i="6"/>
  <c r="I5873" i="6"/>
  <c r="I5874" i="6" s="1"/>
  <c r="I5875" i="6" s="1"/>
  <c r="J5859" i="6" s="1"/>
  <c r="G332" i="7" s="1"/>
  <c r="I3141" i="6"/>
  <c r="I3142" i="6" s="1"/>
  <c r="I3143" i="6" s="1"/>
  <c r="J3127" i="6" s="1"/>
  <c r="G181" i="7" s="1"/>
  <c r="I2874" i="6"/>
  <c r="I2430" i="6"/>
  <c r="I7593" i="6"/>
  <c r="I7594" i="6" s="1"/>
  <c r="I7595" i="6" s="1"/>
  <c r="J7575" i="6" s="1"/>
  <c r="G433" i="7" s="1"/>
  <c r="B182" i="8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I623" i="6"/>
  <c r="I624" i="6" s="1"/>
  <c r="I625" i="6" s="1"/>
  <c r="J608" i="6" s="1"/>
  <c r="G48" i="7" s="1"/>
  <c r="I4882" i="6"/>
  <c r="I4883" i="6" s="1"/>
  <c r="I4884" i="6" s="1"/>
  <c r="J4867" i="6" s="1"/>
  <c r="G274" i="7" s="1"/>
  <c r="I7015" i="6"/>
  <c r="I7016" i="6" s="1"/>
  <c r="I7017" i="6" s="1"/>
  <c r="J7000" i="6" s="1"/>
  <c r="G401" i="7" s="1"/>
  <c r="I6037" i="6"/>
  <c r="I6038" i="6" s="1"/>
  <c r="I6039" i="6" s="1"/>
  <c r="J6023" i="6" s="1"/>
  <c r="G343" i="7" s="1"/>
  <c r="I6416" i="6"/>
  <c r="I6417" i="6" s="1"/>
  <c r="I6418" i="6" s="1"/>
  <c r="J6401" i="6" s="1"/>
  <c r="G363" i="7" s="1"/>
  <c r="I3434" i="6"/>
  <c r="I5780" i="6"/>
  <c r="I3711" i="6"/>
  <c r="I3712" i="6" s="1"/>
  <c r="I3713" i="6" s="1"/>
  <c r="J3695" i="6" s="1"/>
  <c r="G214" i="7" s="1"/>
  <c r="I3988" i="6"/>
  <c r="I3989" i="6" s="1"/>
  <c r="I3990" i="6" s="1"/>
  <c r="J3972" i="6" s="1"/>
  <c r="G228" i="7" s="1"/>
  <c r="I3030" i="6"/>
  <c r="I3031" i="6" s="1"/>
  <c r="I3032" i="6" s="1"/>
  <c r="J3015" i="6" s="1"/>
  <c r="G173" i="7" s="1"/>
  <c r="I4266" i="6"/>
  <c r="I4267" i="6" s="1"/>
  <c r="I4268" i="6" s="1"/>
  <c r="J4250" i="6" s="1"/>
  <c r="G242" i="7" s="1"/>
  <c r="I7088" i="6"/>
  <c r="I7089" i="6" s="1"/>
  <c r="I7090" i="6" s="1"/>
  <c r="J7073" i="6" s="1"/>
  <c r="G405" i="7" s="1"/>
  <c r="I4973" i="6"/>
  <c r="I4974" i="6" s="1"/>
  <c r="I4975" i="6" s="1"/>
  <c r="J4959" i="6" s="1"/>
  <c r="G281" i="7" s="1"/>
  <c r="I4558" i="6"/>
  <c r="I4559" i="6" s="1"/>
  <c r="I4560" i="6" s="1"/>
  <c r="J4542" i="6" s="1"/>
  <c r="G257" i="7" s="1"/>
  <c r="I7318" i="6"/>
  <c r="I7319" i="6" s="1"/>
  <c r="I7320" i="6" s="1"/>
  <c r="J7302" i="6" s="1"/>
  <c r="G419" i="7" s="1"/>
  <c r="I6249" i="6"/>
  <c r="I6250" i="6" s="1"/>
  <c r="I6251" i="6" s="1"/>
  <c r="J6234" i="6" s="1"/>
  <c r="G354" i="7" s="1"/>
  <c r="I6230" i="6"/>
  <c r="I6231" i="6" s="1"/>
  <c r="I6232" i="6" s="1"/>
  <c r="J6215" i="6" s="1"/>
  <c r="G353" i="7" s="1"/>
  <c r="I6055" i="6"/>
  <c r="I6056" i="6" s="1"/>
  <c r="I6057" i="6" s="1"/>
  <c r="J6041" i="6" s="1"/>
  <c r="G344" i="7" s="1"/>
  <c r="I5341" i="6"/>
  <c r="I5342" i="6" s="1"/>
  <c r="I5343" i="6" s="1"/>
  <c r="J5327" i="6" s="1"/>
  <c r="G303" i="7" s="1"/>
  <c r="I6981" i="6"/>
  <c r="I6982" i="6" s="1"/>
  <c r="I6983" i="6" s="1"/>
  <c r="J6966" i="6" s="1"/>
  <c r="G399" i="7" s="1"/>
  <c r="I1302" i="6"/>
  <c r="I1303" i="6" s="1"/>
  <c r="I1304" i="6" s="1"/>
  <c r="J1287" i="6" s="1"/>
  <c r="G84" i="7" s="1"/>
  <c r="I3159" i="6"/>
  <c r="I3160" i="6" s="1"/>
  <c r="I3161" i="6" s="1"/>
  <c r="J3145" i="6" s="1"/>
  <c r="G182" i="7" s="1"/>
  <c r="I3890" i="6"/>
  <c r="I3891" i="6" s="1"/>
  <c r="I3892" i="6" s="1"/>
  <c r="J3875" i="6" s="1"/>
  <c r="G223" i="7" s="1"/>
  <c r="I5142" i="6"/>
  <c r="I5143" i="6" s="1"/>
  <c r="I5144" i="6" s="1"/>
  <c r="J5128" i="6" s="1"/>
  <c r="I7433" i="6"/>
  <c r="I7434" i="6" s="1"/>
  <c r="I7435" i="6" s="1"/>
  <c r="J7419" i="6" s="1"/>
  <c r="G425" i="7" s="1"/>
  <c r="I6154" i="6"/>
  <c r="I6155" i="6" s="1"/>
  <c r="I6156" i="6" s="1"/>
  <c r="J6137" i="6" s="1"/>
  <c r="G349" i="7" s="1"/>
  <c r="I4346" i="6"/>
  <c r="I4347" i="6" s="1"/>
  <c r="I4348" i="6" s="1"/>
  <c r="J4330" i="6" s="1"/>
  <c r="G246" i="7" s="1"/>
  <c r="I4108" i="6"/>
  <c r="I4109" i="6" s="1"/>
  <c r="I4110" i="6" s="1"/>
  <c r="J4092" i="6" s="1"/>
  <c r="G234" i="7" s="1"/>
  <c r="I2794" i="6"/>
  <c r="I2795" i="6" s="1"/>
  <c r="I2796" i="6" s="1"/>
  <c r="J2778" i="6" s="1"/>
  <c r="G161" i="7" s="1"/>
  <c r="I1572" i="6"/>
  <c r="I1573" i="6" s="1"/>
  <c r="I1574" i="6" s="1"/>
  <c r="J1556" i="6" s="1"/>
  <c r="G96" i="7" s="1"/>
  <c r="I5395" i="6"/>
  <c r="I5396" i="6" s="1"/>
  <c r="I5397" i="6" s="1"/>
  <c r="J5381" i="6" s="1"/>
  <c r="G306" i="7" s="1"/>
  <c r="I5377" i="6"/>
  <c r="I5378" i="6" s="1"/>
  <c r="I5379" i="6" s="1"/>
  <c r="J5363" i="6" s="1"/>
  <c r="G305" i="7" s="1"/>
  <c r="I4598" i="6"/>
  <c r="I4599" i="6" s="1"/>
  <c r="I4600" i="6" s="1"/>
  <c r="J4582" i="6" s="1"/>
  <c r="G259" i="7" s="1"/>
  <c r="I3325" i="6"/>
  <c r="I3326" i="6" s="1"/>
  <c r="I3327" i="6" s="1"/>
  <c r="J3311" i="6" s="1"/>
  <c r="G191" i="7" s="1"/>
  <c r="I2954" i="6"/>
  <c r="I2955" i="6" s="1"/>
  <c r="I2956" i="6" s="1"/>
  <c r="J2938" i="6" s="1"/>
  <c r="G169" i="7" s="1"/>
  <c r="I3049" i="6"/>
  <c r="I3050" i="6" s="1"/>
  <c r="I3051" i="6" s="1"/>
  <c r="J3034" i="6" s="1"/>
  <c r="G174" i="7" s="1"/>
  <c r="I2564" i="6"/>
  <c r="I2565" i="6" s="1"/>
  <c r="I2566" i="6" s="1"/>
  <c r="J2549" i="6" s="1"/>
  <c r="G149" i="7" s="1"/>
  <c r="I2411" i="6"/>
  <c r="I2412" i="6" s="1"/>
  <c r="I2413" i="6" s="1"/>
  <c r="J2396" i="6" s="1"/>
  <c r="G139" i="7" s="1"/>
  <c r="I3470" i="6"/>
  <c r="I3471" i="6" s="1"/>
  <c r="I3472" i="6" s="1"/>
  <c r="J3456" i="6" s="1"/>
  <c r="G199" i="7" s="1"/>
  <c r="I1919" i="6"/>
  <c r="I1920" i="6" s="1"/>
  <c r="I1921" i="6" s="1"/>
  <c r="J1901" i="6" s="1"/>
  <c r="G111" i="7" s="1"/>
  <c r="I4444" i="6"/>
  <c r="I4445" i="6" s="1"/>
  <c r="I4446" i="6" s="1"/>
  <c r="J4430" i="6" s="1"/>
  <c r="G251" i="7" s="1"/>
  <c r="I5799" i="6"/>
  <c r="I5800" i="6" s="1"/>
  <c r="I5801" i="6" s="1"/>
  <c r="J5784" i="6" s="1"/>
  <c r="G328" i="7" s="1"/>
  <c r="I6019" i="6"/>
  <c r="I6020" i="6" s="1"/>
  <c r="I6021" i="6" s="1"/>
  <c r="J6005" i="6" s="1"/>
  <c r="G342" i="7" s="1"/>
  <c r="I4366" i="6"/>
  <c r="I4367" i="6" s="1"/>
  <c r="I4368" i="6" s="1"/>
  <c r="J4350" i="6" s="1"/>
  <c r="G247" i="7" s="1"/>
  <c r="I48" i="6"/>
  <c r="I49" i="6" s="1"/>
  <c r="I50" i="6" s="1"/>
  <c r="J28" i="6" s="1"/>
  <c r="G11" i="7" s="1"/>
  <c r="I5521" i="6"/>
  <c r="I5522" i="6" s="1"/>
  <c r="I5523" i="6" s="1"/>
  <c r="J5507" i="6" s="1"/>
  <c r="G313" i="7" s="1"/>
  <c r="I4462" i="6"/>
  <c r="I4463" i="6" s="1"/>
  <c r="I4464" i="6" s="1"/>
  <c r="J4448" i="6" s="1"/>
  <c r="G252" i="7" s="1"/>
  <c r="I7629" i="6"/>
  <c r="I7630" i="6" s="1"/>
  <c r="I7631" i="6" s="1"/>
  <c r="J7615" i="6" s="1"/>
  <c r="G435" i="7" s="1"/>
  <c r="I4698" i="6"/>
  <c r="I4699" i="6" s="1"/>
  <c r="I4700" i="6" s="1"/>
  <c r="J4683" i="6" s="1"/>
  <c r="G264" i="7" s="1"/>
  <c r="I5009" i="6"/>
  <c r="I5010" i="6" s="1"/>
  <c r="I5011" i="6" s="1"/>
  <c r="J4995" i="6" s="1"/>
  <c r="G283" i="7" s="1"/>
  <c r="I7903" i="6"/>
  <c r="I7904" i="6" s="1"/>
  <c r="I7905" i="6" s="1"/>
  <c r="J7887" i="6" s="1"/>
  <c r="G450" i="7" s="1"/>
  <c r="I7571" i="6"/>
  <c r="I7572" i="6" s="1"/>
  <c r="I7573" i="6" s="1"/>
  <c r="J7553" i="6" s="1"/>
  <c r="G432" i="7" s="1"/>
  <c r="I7242" i="6"/>
  <c r="I7243" i="6" s="1"/>
  <c r="I7244" i="6" s="1"/>
  <c r="J7228" i="6" s="1"/>
  <c r="G413" i="7" s="1"/>
  <c r="I6945" i="6"/>
  <c r="I6946" i="6" s="1"/>
  <c r="I6947" i="6" s="1"/>
  <c r="J6926" i="6" s="1"/>
  <c r="G397" i="7" s="1"/>
  <c r="I7260" i="6"/>
  <c r="I7261" i="6" s="1"/>
  <c r="I7262" i="6" s="1"/>
  <c r="J7246" i="6" s="1"/>
  <c r="G414" i="7" s="1"/>
  <c r="I7125" i="6"/>
  <c r="I7126" i="6" s="1"/>
  <c r="I7127" i="6" s="1"/>
  <c r="J7111" i="6" s="1"/>
  <c r="G407" i="7" s="1"/>
  <c r="I5703" i="6"/>
  <c r="I5704" i="6" s="1"/>
  <c r="I5705" i="6" s="1"/>
  <c r="J5687" i="6" s="1"/>
  <c r="G323" i="7" s="1"/>
  <c r="I3380" i="6"/>
  <c r="I3381" i="6" s="1"/>
  <c r="I3382" i="6" s="1"/>
  <c r="J3365" i="6" s="1"/>
  <c r="G194" i="7" s="1"/>
  <c r="I3123" i="6"/>
  <c r="I3124" i="6" s="1"/>
  <c r="I3125" i="6" s="1"/>
  <c r="J3109" i="6" s="1"/>
  <c r="G180" i="7" s="1"/>
  <c r="I3948" i="6"/>
  <c r="I3949" i="6" s="1"/>
  <c r="I3950" i="6" s="1"/>
  <c r="J3932" i="6" s="1"/>
  <c r="G226" i="7" s="1"/>
  <c r="I5721" i="6"/>
  <c r="I5722" i="6" s="1"/>
  <c r="I5723" i="6" s="1"/>
  <c r="J5707" i="6" s="1"/>
  <c r="G324" i="7" s="1"/>
  <c r="I3556" i="6"/>
  <c r="I3557" i="6" s="1"/>
  <c r="I3558" i="6" s="1"/>
  <c r="J3543" i="6" s="1"/>
  <c r="G204" i="7" s="1"/>
  <c r="I7279" i="6"/>
  <c r="I7280" i="6" s="1"/>
  <c r="I7281" i="6" s="1"/>
  <c r="J7265" i="6" s="1"/>
  <c r="G417" i="7" s="1"/>
  <c r="I7549" i="6"/>
  <c r="I7550" i="6" s="1"/>
  <c r="I7551" i="6" s="1"/>
  <c r="J7531" i="6" s="1"/>
  <c r="G431" i="7" s="1"/>
  <c r="I3928" i="6"/>
  <c r="I3929" i="6" s="1"/>
  <c r="I3930" i="6" s="1"/>
  <c r="J3913" i="6" s="1"/>
  <c r="G225" i="7" s="1"/>
  <c r="I6853" i="6"/>
  <c r="I6854" i="6" s="1"/>
  <c r="I6855" i="6" s="1"/>
  <c r="J6839" i="6" s="1"/>
  <c r="G390" i="7" s="1"/>
  <c r="I4717" i="6"/>
  <c r="I4718" i="6" s="1"/>
  <c r="I4719" i="6" s="1"/>
  <c r="J4702" i="6" s="1"/>
  <c r="G265" i="7" s="1"/>
  <c r="I4518" i="6"/>
  <c r="I4519" i="6" s="1"/>
  <c r="I4520" i="6" s="1"/>
  <c r="J4502" i="6" s="1"/>
  <c r="G255" i="7" s="1"/>
  <c r="I5593" i="6"/>
  <c r="I5594" i="6" s="1"/>
  <c r="I5595" i="6" s="1"/>
  <c r="J5579" i="6" s="1"/>
  <c r="G317" i="7" s="1"/>
  <c r="I3651" i="6"/>
  <c r="I3652" i="6" s="1"/>
  <c r="I3653" i="6" s="1"/>
  <c r="J3635" i="6" s="1"/>
  <c r="G211" i="7" s="1"/>
  <c r="I4028" i="6"/>
  <c r="I4029" i="6" s="1"/>
  <c r="I4030" i="6" s="1"/>
  <c r="J4012" i="6" s="1"/>
  <c r="G230" i="7" s="1"/>
  <c r="I2300" i="6"/>
  <c r="I2301" i="6" s="1"/>
  <c r="I2302" i="6" s="1"/>
  <c r="J2286" i="6" s="1"/>
  <c r="G133" i="7" s="1"/>
  <c r="I5213" i="6"/>
  <c r="I5214" i="6" s="1"/>
  <c r="I5215" i="6" s="1"/>
  <c r="J5198" i="6" s="1"/>
  <c r="G296" i="7" s="1"/>
  <c r="I1328" i="6"/>
  <c r="I1329" i="6" s="1"/>
  <c r="I1330" i="6" s="1"/>
  <c r="J1306" i="6" s="1"/>
  <c r="G85" i="7" s="1"/>
  <c r="I6173" i="6"/>
  <c r="I6174" i="6" s="1"/>
  <c r="I6175" i="6" s="1"/>
  <c r="J6158" i="6" s="1"/>
  <c r="G350" i="7" s="1"/>
  <c r="I5909" i="6"/>
  <c r="I5910" i="6" s="1"/>
  <c r="I5911" i="6" s="1"/>
  <c r="J5895" i="6" s="1"/>
  <c r="G334" i="7" s="1"/>
  <c r="I4618" i="6"/>
  <c r="I4619" i="6" s="1"/>
  <c r="I4620" i="6" s="1"/>
  <c r="J4602" i="6" s="1"/>
  <c r="G260" i="7" s="1"/>
  <c r="I3612" i="6"/>
  <c r="I3613" i="6" s="1"/>
  <c r="I3614" i="6" s="1"/>
  <c r="J3597" i="6" s="1"/>
  <c r="G209" i="7" s="1"/>
  <c r="I4186" i="6"/>
  <c r="I4187" i="6" s="1"/>
  <c r="I4188" i="6" s="1"/>
  <c r="J4172" i="6" s="1"/>
  <c r="G238" i="7" s="1"/>
  <c r="I3271" i="6"/>
  <c r="I3272" i="6" s="1"/>
  <c r="I3273" i="6" s="1"/>
  <c r="J3256" i="6" s="1"/>
  <c r="G188" i="7" s="1"/>
  <c r="I2583" i="6"/>
  <c r="I2584" i="6" s="1"/>
  <c r="I2585" i="6" s="1"/>
  <c r="J2568" i="6" s="1"/>
  <c r="G150" i="7" s="1"/>
  <c r="I2176" i="6"/>
  <c r="H2350" i="6" s="1"/>
  <c r="I2350" i="6" s="1"/>
  <c r="I2351" i="6" s="1"/>
  <c r="I1007" i="6"/>
  <c r="I1008" i="6" s="1"/>
  <c r="I1009" i="6" s="1"/>
  <c r="J990" i="6" s="1"/>
  <c r="G69" i="7" s="1"/>
  <c r="I2319" i="6"/>
  <c r="I2320" i="6" s="1"/>
  <c r="I2321" i="6" s="1"/>
  <c r="J2304" i="6" s="1"/>
  <c r="G134" i="7" s="1"/>
  <c r="I3214" i="6"/>
  <c r="I3215" i="6" s="1"/>
  <c r="I3216" i="6" s="1"/>
  <c r="J3199" i="6" s="1"/>
  <c r="G185" i="7" s="1"/>
  <c r="I3087" i="6"/>
  <c r="I3088" i="6" s="1"/>
  <c r="I3089" i="6" s="1"/>
  <c r="J3073" i="6" s="1"/>
  <c r="G178" i="7" s="1"/>
  <c r="I1813" i="6"/>
  <c r="I1814" i="6" s="1"/>
  <c r="I1815" i="6" s="1"/>
  <c r="J1795" i="6" s="1"/>
  <c r="G109" i="7" s="1"/>
  <c r="I1632" i="6"/>
  <c r="I1633" i="6" s="1"/>
  <c r="I1634" i="6" s="1"/>
  <c r="J1616" i="6" s="1"/>
  <c r="G99" i="7" s="1"/>
  <c r="I202" i="6"/>
  <c r="I203" i="6" s="1"/>
  <c r="I204" i="6" s="1"/>
  <c r="J182" i="6" s="1"/>
  <c r="G18" i="7" s="1"/>
  <c r="I4008" i="6"/>
  <c r="I4009" i="6" s="1"/>
  <c r="I4010" i="6" s="1"/>
  <c r="J3992" i="6" s="1"/>
  <c r="G229" i="7" s="1"/>
  <c r="I237" i="6"/>
  <c r="I238" i="6" s="1"/>
  <c r="H7159" i="6" s="1"/>
  <c r="I7159" i="6" s="1"/>
  <c r="I6113" i="6"/>
  <c r="I6114" i="6" s="1"/>
  <c r="I6115" i="6" s="1"/>
  <c r="J6099" i="6" s="1"/>
  <c r="G347" i="7" s="1"/>
  <c r="I7052" i="6"/>
  <c r="I7053" i="6" s="1"/>
  <c r="I7054" i="6" s="1"/>
  <c r="J7038" i="6" s="1"/>
  <c r="G403" i="7" s="1"/>
  <c r="I5983" i="6"/>
  <c r="I5984" i="6" s="1"/>
  <c r="I5985" i="6" s="1"/>
  <c r="J5969" i="6" s="1"/>
  <c r="G340" i="7" s="1"/>
  <c r="I6434" i="6"/>
  <c r="I6435" i="6" s="1"/>
  <c r="I6436" i="6" s="1"/>
  <c r="J6420" i="6" s="1"/>
  <c r="G364" i="7" s="1"/>
  <c r="I4863" i="6"/>
  <c r="I4864" i="6" s="1"/>
  <c r="I4865" i="6" s="1"/>
  <c r="J4848" i="6" s="1"/>
  <c r="G273" i="7" s="1"/>
  <c r="I1441" i="6"/>
  <c r="I1442" i="6" s="1"/>
  <c r="I1443" i="6" s="1"/>
  <c r="J1416" i="6" s="1"/>
  <c r="G89" i="7" s="1"/>
  <c r="I4128" i="6"/>
  <c r="I4129" i="6" s="1"/>
  <c r="I4130" i="6" s="1"/>
  <c r="J4112" i="6" s="1"/>
  <c r="G235" i="7" s="1"/>
  <c r="I2717" i="6"/>
  <c r="I2718" i="6" s="1"/>
  <c r="I2719" i="6" s="1"/>
  <c r="J2702" i="6" s="1"/>
  <c r="G157" i="7" s="1"/>
  <c r="I164" i="6"/>
  <c r="I165" i="6" s="1"/>
  <c r="I166" i="6" s="1"/>
  <c r="J148" i="6" s="1"/>
  <c r="G16" i="7" s="1"/>
  <c r="I663" i="6"/>
  <c r="I664" i="6" s="1"/>
  <c r="I665" i="6" s="1"/>
  <c r="J647" i="6" s="1"/>
  <c r="G50" i="7" s="1"/>
  <c r="I6095" i="6"/>
  <c r="I6096" i="6" s="1"/>
  <c r="I6097" i="6" s="1"/>
  <c r="J6079" i="6" s="1"/>
  <c r="G346" i="7" s="1"/>
  <c r="I4538" i="6"/>
  <c r="I4539" i="6" s="1"/>
  <c r="I4540" i="6" s="1"/>
  <c r="J4522" i="6" s="1"/>
  <c r="G256" i="7" s="1"/>
  <c r="I6454" i="6"/>
  <c r="I6455" i="6" s="1"/>
  <c r="I6456" i="6" s="1"/>
  <c r="J6438" i="6" s="1"/>
  <c r="G365" i="7" s="1"/>
  <c r="I5083" i="6"/>
  <c r="I5084" i="6" s="1"/>
  <c r="I5085" i="6" s="1"/>
  <c r="J5069" i="6" s="1"/>
  <c r="I3811" i="6"/>
  <c r="I3812" i="6" s="1"/>
  <c r="I3813" i="6" s="1"/>
  <c r="J3795" i="6" s="1"/>
  <c r="G219" i="7" s="1"/>
  <c r="I3307" i="6"/>
  <c r="I3308" i="6" s="1"/>
  <c r="I3309" i="6" s="1"/>
  <c r="J3293" i="6" s="1"/>
  <c r="G190" i="7" s="1"/>
  <c r="I2755" i="6"/>
  <c r="I2756" i="6" s="1"/>
  <c r="I2757" i="6" s="1"/>
  <c r="J2740" i="6" s="1"/>
  <c r="G159" i="7" s="1"/>
  <c r="I1592" i="6"/>
  <c r="I1593" i="6" s="1"/>
  <c r="I1594" i="6" s="1"/>
  <c r="J1576" i="6" s="1"/>
  <c r="G97" i="7" s="1"/>
  <c r="I3751" i="6"/>
  <c r="I3752" i="6" s="1"/>
  <c r="I3753" i="6" s="1"/>
  <c r="J3735" i="6" s="1"/>
  <c r="G216" i="7" s="1"/>
  <c r="I1153" i="6"/>
  <c r="I1154" i="6" s="1"/>
  <c r="I1155" i="6" s="1"/>
  <c r="J1138" i="6" s="1"/>
  <c r="G77" i="7" s="1"/>
  <c r="I6730" i="6"/>
  <c r="I6731" i="6" s="1"/>
  <c r="I6732" i="6" s="1"/>
  <c r="J6716" i="6" s="1"/>
  <c r="G383" i="7" s="1"/>
  <c r="I5836" i="6"/>
  <c r="I5837" i="6" s="1"/>
  <c r="I5838" i="6" s="1"/>
  <c r="J5821" i="6" s="1"/>
  <c r="G330" i="7" s="1"/>
  <c r="I2679" i="6"/>
  <c r="I2680" i="6" s="1"/>
  <c r="I2681" i="6" s="1"/>
  <c r="J2664" i="6" s="1"/>
  <c r="G155" i="7" s="1"/>
  <c r="I4659" i="6"/>
  <c r="I4660" i="6" s="1"/>
  <c r="I4661" i="6" s="1"/>
  <c r="J4642" i="6" s="1"/>
  <c r="G262" i="7" s="1"/>
  <c r="I3105" i="6"/>
  <c r="I3106" i="6" s="1"/>
  <c r="I3107" i="6" s="1"/>
  <c r="J3091" i="6" s="1"/>
  <c r="G179" i="7" s="1"/>
  <c r="I566" i="6"/>
  <c r="I567" i="6" s="1"/>
  <c r="I568" i="6" s="1"/>
  <c r="J551" i="6" s="1"/>
  <c r="G45" i="7" s="1"/>
  <c r="I764" i="6"/>
  <c r="I765" i="6" s="1"/>
  <c r="I766" i="6" s="1"/>
  <c r="J748" i="6" s="1"/>
  <c r="G57" i="7" s="1"/>
  <c r="I6192" i="6"/>
  <c r="I6193" i="6" s="1"/>
  <c r="I6194" i="6" s="1"/>
  <c r="J6177" i="6" s="1"/>
  <c r="G351" i="7" s="1"/>
  <c r="I7298" i="6"/>
  <c r="I7299" i="6" s="1"/>
  <c r="I7300" i="6" s="1"/>
  <c r="J7283" i="6" s="1"/>
  <c r="G418" i="7" s="1"/>
  <c r="I5232" i="6"/>
  <c r="I5233" i="6" s="1"/>
  <c r="I5234" i="6" s="1"/>
  <c r="J5217" i="6" s="1"/>
  <c r="G297" i="7" s="1"/>
  <c r="I1866" i="6"/>
  <c r="I1867" i="6" s="1"/>
  <c r="I1868" i="6" s="1"/>
  <c r="J1848" i="6" s="1"/>
  <c r="G110" i="7" s="1"/>
  <c r="I547" i="6"/>
  <c r="I548" i="6" s="1"/>
  <c r="I549" i="6" s="1"/>
  <c r="J532" i="6" s="1"/>
  <c r="G44" i="7" s="1"/>
  <c r="I144" i="6"/>
  <c r="I145" i="6" s="1"/>
  <c r="I146" i="6" s="1"/>
  <c r="J124" i="6" s="1"/>
  <c r="G15" i="7" s="1"/>
  <c r="I4286" i="6"/>
  <c r="I4287" i="6" s="1"/>
  <c r="I4288" i="6" s="1"/>
  <c r="J4270" i="6" s="1"/>
  <c r="G243" i="7" s="1"/>
  <c r="I7490" i="6"/>
  <c r="I7491" i="6" s="1"/>
  <c r="I7492" i="6" s="1"/>
  <c r="J7476" i="6" s="1"/>
  <c r="G428" i="7" s="1"/>
  <c r="I6321" i="6"/>
  <c r="I6322" i="6" s="1"/>
  <c r="I6323" i="6" s="1"/>
  <c r="J6307" i="6" s="1"/>
  <c r="G358" i="7" s="1"/>
  <c r="I5305" i="6"/>
  <c r="I5306" i="6" s="1"/>
  <c r="I5307" i="6" s="1"/>
  <c r="J5291" i="6" s="1"/>
  <c r="G301" i="7" s="1"/>
  <c r="I3573" i="6"/>
  <c r="I3574" i="6" s="1"/>
  <c r="I3575" i="6" s="1"/>
  <c r="J3560" i="6" s="1"/>
  <c r="G205" i="7" s="1"/>
  <c r="I3691" i="6"/>
  <c r="I3692" i="6" s="1"/>
  <c r="I3693" i="6" s="1"/>
  <c r="J3675" i="6" s="1"/>
  <c r="G213" i="7" s="1"/>
  <c r="I3452" i="6"/>
  <c r="I3453" i="6" s="1"/>
  <c r="I3454" i="6" s="1"/>
  <c r="J3438" i="6" s="1"/>
  <c r="G198" i="7" s="1"/>
  <c r="I7510" i="6"/>
  <c r="I7511" i="6" s="1"/>
  <c r="I7512" i="6" s="1"/>
  <c r="J7494" i="6" s="1"/>
  <c r="G429" i="7" s="1"/>
  <c r="I6766" i="6"/>
  <c r="I6767" i="6" s="1"/>
  <c r="I6768" i="6" s="1"/>
  <c r="J6752" i="6" s="1"/>
  <c r="G385" i="7" s="1"/>
  <c r="I5629" i="6"/>
  <c r="I5630" i="6" s="1"/>
  <c r="I5631" i="6" s="1"/>
  <c r="J5615" i="6" s="1"/>
  <c r="G319" i="7" s="1"/>
  <c r="I4919" i="6"/>
  <c r="I4920" i="6" s="1"/>
  <c r="I4921" i="6" s="1"/>
  <c r="J4905" i="6" s="1"/>
  <c r="G278" i="7" s="1"/>
  <c r="I4806" i="6"/>
  <c r="I4807" i="6" s="1"/>
  <c r="I4808" i="6" s="1"/>
  <c r="J4792" i="6" s="1"/>
  <c r="G270" i="7" s="1"/>
  <c r="I5557" i="6"/>
  <c r="I5558" i="6" s="1"/>
  <c r="I5559" i="6" s="1"/>
  <c r="J5543" i="6" s="1"/>
  <c r="G315" i="7" s="1"/>
  <c r="I3851" i="6"/>
  <c r="I3852" i="6" s="1"/>
  <c r="I3853" i="6" s="1"/>
  <c r="J3835" i="6" s="1"/>
  <c r="G221" i="7" s="1"/>
  <c r="I2282" i="6"/>
  <c r="I2283" i="6" s="1"/>
  <c r="I2284" i="6" s="1"/>
  <c r="J2267" i="6" s="1"/>
  <c r="G132" i="7" s="1"/>
  <c r="I1261" i="6"/>
  <c r="I1262" i="6" s="1"/>
  <c r="I1263" i="6" s="1"/>
  <c r="J1242" i="6" s="1"/>
  <c r="G82" i="7" s="1"/>
  <c r="I3361" i="6"/>
  <c r="I3362" i="6" s="1"/>
  <c r="I3363" i="6" s="1"/>
  <c r="J3347" i="6" s="1"/>
  <c r="G193" i="7" s="1"/>
  <c r="I683" i="6"/>
  <c r="I684" i="6" s="1"/>
  <c r="I685" i="6" s="1"/>
  <c r="J667" i="6" s="1"/>
  <c r="G51" i="7" s="1"/>
  <c r="I585" i="6"/>
  <c r="I586" i="6" s="1"/>
  <c r="I587" i="6" s="1"/>
  <c r="J570" i="6" s="1"/>
  <c r="G46" i="7" s="1"/>
  <c r="I1354" i="6"/>
  <c r="I1355" i="6" s="1"/>
  <c r="I1356" i="6" s="1"/>
  <c r="J1332" i="6" s="1"/>
  <c r="G86" i="7" s="1"/>
  <c r="I2621" i="6"/>
  <c r="I2622" i="6" s="1"/>
  <c r="I2623" i="6" s="1"/>
  <c r="J2606" i="6" s="1"/>
  <c r="G152" i="7" s="1"/>
  <c r="I1283" i="6"/>
  <c r="I1284" i="6" s="1"/>
  <c r="I1285" i="6" s="1"/>
  <c r="J1265" i="6" s="1"/>
  <c r="G83" i="7" s="1"/>
  <c r="I4326" i="6"/>
  <c r="I4327" i="6" s="1"/>
  <c r="I4328" i="6" s="1"/>
  <c r="J4310" i="6" s="1"/>
  <c r="G245" i="7" s="1"/>
  <c r="I5287" i="6"/>
  <c r="I5288" i="6" s="1"/>
  <c r="I5289" i="6" s="1"/>
  <c r="J5273" i="6" s="1"/>
  <c r="G300" i="7" s="1"/>
  <c r="I4638" i="6"/>
  <c r="I4639" i="6" s="1"/>
  <c r="I4640" i="6" s="1"/>
  <c r="J4622" i="6" s="1"/>
  <c r="G261" i="7" s="1"/>
  <c r="I3177" i="6"/>
  <c r="I3178" i="6" s="1"/>
  <c r="I3179" i="6" s="1"/>
  <c r="J3163" i="6" s="1"/>
  <c r="G183" i="7" s="1"/>
  <c r="I1116" i="6"/>
  <c r="I1117" i="6" s="1"/>
  <c r="I1118" i="6" s="1"/>
  <c r="J1102" i="6" s="1"/>
  <c r="G75" i="7" s="1"/>
  <c r="I497" i="6"/>
  <c r="I498" i="6" s="1"/>
  <c r="I499" i="6" s="1"/>
  <c r="J482" i="6" s="1"/>
  <c r="G39" i="7" s="1"/>
  <c r="I1238" i="6"/>
  <c r="I1239" i="6" s="1"/>
  <c r="I1240" i="6" s="1"/>
  <c r="J1220" i="6" s="1"/>
  <c r="G81" i="7" s="1"/>
  <c r="I826" i="6"/>
  <c r="I827" i="6" s="1"/>
  <c r="I828" i="6" s="1"/>
  <c r="J810" i="6" s="1"/>
  <c r="G60" i="7" s="1"/>
  <c r="I2392" i="6"/>
  <c r="I2393" i="6" s="1"/>
  <c r="I2394" i="6" s="1"/>
  <c r="J2377" i="6" s="1"/>
  <c r="G138" i="7" s="1"/>
  <c r="I4148" i="6"/>
  <c r="I4149" i="6" s="1"/>
  <c r="I4150" i="6" s="1"/>
  <c r="J4132" i="6" s="1"/>
  <c r="G236" i="7" s="1"/>
  <c r="I3771" i="6"/>
  <c r="I3772" i="6" s="1"/>
  <c r="I3773" i="6" s="1"/>
  <c r="J3755" i="6" s="1"/>
  <c r="G217" i="7" s="1"/>
  <c r="I2448" i="6"/>
  <c r="I2449" i="6" s="1"/>
  <c r="I2450" i="6" s="1"/>
  <c r="J2434" i="6" s="1"/>
  <c r="G141" i="7" s="1"/>
  <c r="I7143" i="6"/>
  <c r="I7144" i="6" s="1"/>
  <c r="I7145" i="6" s="1"/>
  <c r="J7129" i="6" s="1"/>
  <c r="G408" i="7" s="1"/>
  <c r="I4246" i="6"/>
  <c r="I4247" i="6" s="1"/>
  <c r="I4248" i="6" s="1"/>
  <c r="J4230" i="6" s="1"/>
  <c r="G241" i="7" s="1"/>
  <c r="I2640" i="6"/>
  <c r="I2641" i="6" s="1"/>
  <c r="I2642" i="6" s="1"/>
  <c r="J2625" i="6" s="1"/>
  <c r="G153" i="7" s="1"/>
  <c r="I5855" i="6"/>
  <c r="I5856" i="6" s="1"/>
  <c r="I5857" i="6" s="1"/>
  <c r="J5840" i="6" s="1"/>
  <c r="G331" i="7" s="1"/>
  <c r="I2774" i="6"/>
  <c r="I2775" i="6" s="1"/>
  <c r="I2776" i="6" s="1"/>
  <c r="J2759" i="6" s="1"/>
  <c r="G160" i="7" s="1"/>
  <c r="I784" i="6"/>
  <c r="I785" i="6" s="1"/>
  <c r="I786" i="6" s="1"/>
  <c r="J768" i="6" s="1"/>
  <c r="G58" i="7" s="1"/>
  <c r="I4206" i="6"/>
  <c r="I4207" i="6" s="1"/>
  <c r="I4208" i="6" s="1"/>
  <c r="J4190" i="6" s="1"/>
  <c r="G239" i="7" s="1"/>
  <c r="I3233" i="6"/>
  <c r="I3234" i="6" s="1"/>
  <c r="I3235" i="6" s="1"/>
  <c r="J3218" i="6" s="1"/>
  <c r="G186" i="7" s="1"/>
  <c r="I4168" i="6"/>
  <c r="I4169" i="6" s="1"/>
  <c r="I4170" i="6" s="1"/>
  <c r="J4152" i="6" s="1"/>
  <c r="G237" i="7" s="1"/>
  <c r="I3252" i="6"/>
  <c r="I3253" i="6" s="1"/>
  <c r="I3254" i="6" s="1"/>
  <c r="J3237" i="6" s="1"/>
  <c r="G187" i="7" s="1"/>
  <c r="I6285" i="6"/>
  <c r="I6286" i="6" s="1"/>
  <c r="I6287" i="6" s="1"/>
  <c r="J6271" i="6" s="1"/>
  <c r="G356" i="7" s="1"/>
  <c r="I7034" i="6"/>
  <c r="I7035" i="6" s="1"/>
  <c r="I7036" i="6" s="1"/>
  <c r="J7019" i="6" s="1"/>
  <c r="G402" i="7" s="1"/>
  <c r="I5946" i="6"/>
  <c r="I5947" i="6" s="1"/>
  <c r="I5948" i="6" s="1"/>
  <c r="J5931" i="6" s="1"/>
  <c r="G338" i="7" s="1"/>
  <c r="I5449" i="6"/>
  <c r="I5450" i="6" s="1"/>
  <c r="I5451" i="6" s="1"/>
  <c r="J5435" i="6" s="1"/>
  <c r="G309" i="7" s="1"/>
  <c r="I3398" i="6"/>
  <c r="I3399" i="6" s="1"/>
  <c r="I3400" i="6" s="1"/>
  <c r="J3384" i="6" s="1"/>
  <c r="G195" i="7" s="1"/>
  <c r="I1029" i="6"/>
  <c r="I1030" i="6" s="1"/>
  <c r="I1031" i="6" s="1"/>
  <c r="J1013" i="6" s="1"/>
  <c r="G70" i="7" s="1"/>
  <c r="I219" i="6"/>
  <c r="I220" i="6" s="1"/>
  <c r="I221" i="6" s="1"/>
  <c r="J206" i="6" s="1"/>
  <c r="G19" i="7" s="1"/>
  <c r="I986" i="6"/>
  <c r="I987" i="6" s="1"/>
  <c r="I988" i="6" s="1"/>
  <c r="J970" i="6" s="1"/>
  <c r="G68" i="7" s="1"/>
  <c r="I6267" i="6"/>
  <c r="I6268" i="6" s="1"/>
  <c r="I6269" i="6" s="1"/>
  <c r="J6253" i="6" s="1"/>
  <c r="G355" i="7" s="1"/>
  <c r="I7224" i="6"/>
  <c r="I7225" i="6" s="1"/>
  <c r="I7226" i="6" s="1"/>
  <c r="J7207" i="6" s="1"/>
  <c r="G412" i="7" s="1"/>
  <c r="I5539" i="6"/>
  <c r="I5540" i="6" s="1"/>
  <c r="I5541" i="6" s="1"/>
  <c r="J5525" i="6" s="1"/>
  <c r="G314" i="7" s="1"/>
  <c r="I4991" i="6"/>
  <c r="I4992" i="6" s="1"/>
  <c r="I4993" i="6" s="1"/>
  <c r="J4977" i="6" s="1"/>
  <c r="G282" i="7" s="1"/>
  <c r="I7203" i="6"/>
  <c r="I7204" i="6" s="1"/>
  <c r="I7205" i="6" s="1"/>
  <c r="J7188" i="6" s="1"/>
  <c r="G411" i="7" s="1"/>
  <c r="I5413" i="6"/>
  <c r="I5414" i="6" s="1"/>
  <c r="I5415" i="6" s="1"/>
  <c r="J5399" i="6" s="1"/>
  <c r="G307" i="7" s="1"/>
  <c r="I3731" i="6"/>
  <c r="I3732" i="6" s="1"/>
  <c r="I3733" i="6" s="1"/>
  <c r="J3715" i="6" s="1"/>
  <c r="G215" i="7" s="1"/>
  <c r="I2698" i="6"/>
  <c r="I2699" i="6" s="1"/>
  <c r="I2700" i="6" s="1"/>
  <c r="J2683" i="6" s="1"/>
  <c r="G156" i="7" s="1"/>
  <c r="I1525" i="6"/>
  <c r="I1526" i="6" s="1"/>
  <c r="I1527" i="6" s="1"/>
  <c r="J1503" i="6" s="1"/>
  <c r="G92" i="7" s="1"/>
  <c r="I723" i="6"/>
  <c r="I724" i="6" s="1"/>
  <c r="I725" i="6" s="1"/>
  <c r="J705" i="6" s="1"/>
  <c r="G53" i="7" s="1"/>
  <c r="I1134" i="6"/>
  <c r="I1135" i="6" s="1"/>
  <c r="I1136" i="6" s="1"/>
  <c r="J1120" i="6" s="1"/>
  <c r="G76" i="7" s="1"/>
  <c r="I6339" i="6"/>
  <c r="I6340" i="6" s="1"/>
  <c r="I6341" i="6" s="1"/>
  <c r="J6325" i="6" s="1"/>
  <c r="G359" i="7" s="1"/>
  <c r="I4426" i="6"/>
  <c r="I4427" i="6" s="1"/>
  <c r="I4428" i="6" s="1"/>
  <c r="J4410" i="6" s="1"/>
  <c r="G250" i="7" s="1"/>
  <c r="I4679" i="6"/>
  <c r="I4680" i="6" s="1"/>
  <c r="I4681" i="6" s="1"/>
  <c r="J4663" i="6" s="1"/>
  <c r="G263" i="7" s="1"/>
  <c r="I3593" i="6"/>
  <c r="I3594" i="6" s="1"/>
  <c r="I3595" i="6" s="1"/>
  <c r="J3578" i="6" s="1"/>
  <c r="G208" i="7" s="1"/>
  <c r="I3871" i="6"/>
  <c r="I3872" i="6" s="1"/>
  <c r="I3873" i="6" s="1"/>
  <c r="J3855" i="6" s="1"/>
  <c r="G222" i="7" s="1"/>
  <c r="I3289" i="6"/>
  <c r="I3290" i="6" s="1"/>
  <c r="I3291" i="6" s="1"/>
  <c r="J3275" i="6" s="1"/>
  <c r="G189" i="7" s="1"/>
  <c r="I4386" i="6"/>
  <c r="I4387" i="6" s="1"/>
  <c r="I4388" i="6" s="1"/>
  <c r="J4370" i="6" s="1"/>
  <c r="G248" i="7" s="1"/>
  <c r="I2137" i="6"/>
  <c r="I2138" i="6" s="1"/>
  <c r="I2139" i="6" s="1"/>
  <c r="J2122" i="6" s="1"/>
  <c r="G124" i="7" s="1"/>
  <c r="I2660" i="6"/>
  <c r="I2661" i="6" s="1"/>
  <c r="I2662" i="6" s="1"/>
  <c r="J2644" i="6" s="1"/>
  <c r="G154" i="7" s="1"/>
  <c r="I321" i="6"/>
  <c r="I322" i="6" s="1"/>
  <c r="I323" i="6" s="1"/>
  <c r="J304" i="6" s="1"/>
  <c r="G25" i="7" s="1"/>
  <c r="I2602" i="6"/>
  <c r="I2603" i="6" s="1"/>
  <c r="I2604" i="6" s="1"/>
  <c r="J2587" i="6" s="1"/>
  <c r="G151" i="7" s="1"/>
  <c r="I1098" i="6"/>
  <c r="I1099" i="6" s="1"/>
  <c r="I1100" i="6" s="1"/>
  <c r="J1084" i="6" s="1"/>
  <c r="G74" i="7" s="1"/>
  <c r="I886" i="6"/>
  <c r="I887" i="6" s="1"/>
  <c r="I888" i="6" s="1"/>
  <c r="J870" i="6" s="1"/>
  <c r="G63" i="7" s="1"/>
  <c r="I743" i="6"/>
  <c r="I744" i="6" s="1"/>
  <c r="I745" i="6" s="1"/>
  <c r="J727" i="6" s="1"/>
  <c r="G54" i="7" s="1"/>
  <c r="I89" i="6"/>
  <c r="I90" i="6" s="1"/>
  <c r="I91" i="6" s="1"/>
  <c r="I2067" i="6"/>
  <c r="I2068" i="6" s="1"/>
  <c r="I2069" i="6" s="1"/>
  <c r="J2052" i="6" s="1"/>
  <c r="G118" i="7" s="1"/>
  <c r="I1216" i="6"/>
  <c r="I1217" i="6" s="1"/>
  <c r="I1218" i="6" s="1"/>
  <c r="J1198" i="6" s="1"/>
  <c r="G80" i="7" s="1"/>
  <c r="I866" i="6"/>
  <c r="I867" i="6" s="1"/>
  <c r="I868" i="6" s="1"/>
  <c r="J850" i="6" s="1"/>
  <c r="G62" i="7" s="1"/>
  <c r="I120" i="6"/>
  <c r="I121" i="6" s="1"/>
  <c r="I122" i="6" s="1"/>
  <c r="J93" i="6" s="1"/>
  <c r="G14" i="7" s="1"/>
  <c r="I926" i="6"/>
  <c r="I927" i="6" s="1"/>
  <c r="I928" i="6" s="1"/>
  <c r="J910" i="6" s="1"/>
  <c r="G65" i="7" s="1"/>
  <c r="I1172" i="6"/>
  <c r="I1173" i="6" s="1"/>
  <c r="I1174" i="6" s="1"/>
  <c r="J1157" i="6" s="1"/>
  <c r="G78" i="7" s="1"/>
  <c r="I2973" i="6"/>
  <c r="I2974" i="6" s="1"/>
  <c r="I2975" i="6" s="1"/>
  <c r="J2958" i="6" s="1"/>
  <c r="G170" i="7" s="1"/>
  <c r="I4480" i="6"/>
  <c r="I4481" i="6" s="1"/>
  <c r="I4482" i="6" s="1"/>
  <c r="J4466" i="6" s="1"/>
  <c r="G253" i="7" s="1"/>
  <c r="I5817" i="6"/>
  <c r="I5818" i="6" s="1"/>
  <c r="I5819" i="6" s="1"/>
  <c r="J5803" i="6" s="1"/>
  <c r="G329" i="7" s="1"/>
  <c r="I6303" i="6"/>
  <c r="I6304" i="6" s="1"/>
  <c r="I6305" i="6" s="1"/>
  <c r="J6289" i="6" s="1"/>
  <c r="G357" i="7" s="1"/>
  <c r="I6211" i="6"/>
  <c r="I6212" i="6" s="1"/>
  <c r="I6213" i="6" s="1"/>
  <c r="J6196" i="6" s="1"/>
  <c r="G352" i="7" s="1"/>
  <c r="I5359" i="6"/>
  <c r="I5360" i="6" s="1"/>
  <c r="I5361" i="6" s="1"/>
  <c r="J5345" i="6" s="1"/>
  <c r="G304" i="7" s="1"/>
  <c r="I5683" i="6"/>
  <c r="I5684" i="6" s="1"/>
  <c r="I5685" i="6" s="1"/>
  <c r="J5669" i="6" s="1"/>
  <c r="G322" i="7" s="1"/>
  <c r="I1612" i="6"/>
  <c r="I1613" i="6" s="1"/>
  <c r="I1614" i="6" s="1"/>
  <c r="J1596" i="6" s="1"/>
  <c r="G98" i="7" s="1"/>
  <c r="I946" i="6"/>
  <c r="I947" i="6" s="1"/>
  <c r="I948" i="6" s="1"/>
  <c r="J930" i="6" s="1"/>
  <c r="G66" i="7" s="1"/>
  <c r="I6075" i="6"/>
  <c r="I6076" i="6" s="1"/>
  <c r="I6077" i="6" s="1"/>
  <c r="J6059" i="6" s="1"/>
  <c r="G345" i="7" s="1"/>
  <c r="I7451" i="6"/>
  <c r="I7452" i="6" s="1"/>
  <c r="I7453" i="6" s="1"/>
  <c r="J7437" i="6" s="1"/>
  <c r="G426" i="7" s="1"/>
  <c r="I6001" i="6"/>
  <c r="I6002" i="6" s="1"/>
  <c r="I6003" i="6" s="1"/>
  <c r="J5987" i="6" s="1"/>
  <c r="G341" i="7" s="1"/>
  <c r="I3631" i="6"/>
  <c r="I3632" i="6" s="1"/>
  <c r="I3633" i="6" s="1"/>
  <c r="J3616" i="6" s="1"/>
  <c r="G210" i="7" s="1"/>
  <c r="I2814" i="6"/>
  <c r="I2815" i="6" s="1"/>
  <c r="I2816" i="6" s="1"/>
  <c r="J2798" i="6" s="1"/>
  <c r="G162" i="7" s="1"/>
  <c r="I5965" i="6"/>
  <c r="I5966" i="6" s="1"/>
  <c r="I5967" i="6" s="1"/>
  <c r="J5950" i="6" s="1"/>
  <c r="G339" i="7" s="1"/>
  <c r="I5739" i="6"/>
  <c r="I5740" i="6" s="1"/>
  <c r="I5741" i="6" s="1"/>
  <c r="J5725" i="6" s="1"/>
  <c r="G325" i="7" s="1"/>
  <c r="I1695" i="6"/>
  <c r="I1696" i="6" s="1"/>
  <c r="I1697" i="6" s="1"/>
  <c r="J1678" i="6" s="1"/>
  <c r="G102" i="7" s="1"/>
  <c r="I7845" i="6"/>
  <c r="I7846" i="6" s="1"/>
  <c r="I7847" i="6" s="1"/>
  <c r="J7831" i="6" s="1"/>
  <c r="G447" i="7" s="1"/>
  <c r="I7107" i="6"/>
  <c r="I7108" i="6" s="1"/>
  <c r="I7109" i="6" s="1"/>
  <c r="J7092" i="6" s="1"/>
  <c r="G406" i="7" s="1"/>
  <c r="I5665" i="6"/>
  <c r="I5666" i="6" s="1"/>
  <c r="I5667" i="6" s="1"/>
  <c r="J5651" i="6" s="1"/>
  <c r="G321" i="7" s="1"/>
  <c r="I4753" i="6"/>
  <c r="I4754" i="6" s="1"/>
  <c r="I4755" i="6" s="1"/>
  <c r="J4739" i="6" s="1"/>
  <c r="G267" i="7" s="1"/>
  <c r="I2914" i="6"/>
  <c r="I2915" i="6" s="1"/>
  <c r="I2916" i="6" s="1"/>
  <c r="J2898" i="6" s="1"/>
  <c r="G167" i="7" s="1"/>
  <c r="I2156" i="6"/>
  <c r="I2157" i="6" s="1"/>
  <c r="I2158" i="6" s="1"/>
  <c r="J2141" i="6" s="1"/>
  <c r="G125" i="7" s="1"/>
  <c r="I7184" i="6"/>
  <c r="I7185" i="6" s="1"/>
  <c r="I7186" i="6" s="1"/>
  <c r="J7167" i="6" s="1"/>
  <c r="G410" i="7" s="1"/>
  <c r="I3791" i="6"/>
  <c r="I3792" i="6" s="1"/>
  <c r="I3793" i="6" s="1"/>
  <c r="J3775" i="6" s="1"/>
  <c r="G218" i="7" s="1"/>
  <c r="I2894" i="6"/>
  <c r="I2895" i="6" s="1"/>
  <c r="I2896" i="6" s="1"/>
  <c r="J2878" i="6" s="1"/>
  <c r="G166" i="7" s="1"/>
  <c r="I1412" i="6"/>
  <c r="I1413" i="6" s="1"/>
  <c r="I1414" i="6" s="1"/>
  <c r="J1387" i="6" s="1"/>
  <c r="G88" i="7" s="1"/>
  <c r="I1654" i="6"/>
  <c r="I1655" i="6" s="1"/>
  <c r="I1656" i="6" s="1"/>
  <c r="J1636" i="6" s="1"/>
  <c r="G100" i="7" s="1"/>
  <c r="I1194" i="6"/>
  <c r="I1195" i="6" s="1"/>
  <c r="I1196" i="6" s="1"/>
  <c r="J1176" i="6" s="1"/>
  <c r="G79" i="7" s="1"/>
  <c r="I7946" i="6"/>
  <c r="I7947" i="6" s="1"/>
  <c r="J7928" i="6" s="1"/>
  <c r="G452" i="7" s="1"/>
  <c r="I7924" i="6"/>
  <c r="I7925" i="6" s="1"/>
  <c r="I7926" i="6" s="1"/>
  <c r="J7907" i="6" s="1"/>
  <c r="G451" i="7" s="1"/>
  <c r="I7647" i="6"/>
  <c r="I7648" i="6" s="1"/>
  <c r="I7649" i="6" s="1"/>
  <c r="J7633" i="6" s="1"/>
  <c r="G436" i="7" s="1"/>
  <c r="I4578" i="6"/>
  <c r="I4579" i="6" s="1"/>
  <c r="I4580" i="6" s="1"/>
  <c r="J4562" i="6" s="1"/>
  <c r="G258" i="7" s="1"/>
  <c r="I5611" i="6"/>
  <c r="I5612" i="6" s="1"/>
  <c r="I5613" i="6" s="1"/>
  <c r="J5597" i="6" s="1"/>
  <c r="G318" i="7" s="1"/>
  <c r="I7665" i="6"/>
  <c r="I7666" i="6" s="1"/>
  <c r="I7667" i="6" s="1"/>
  <c r="J7651" i="6" s="1"/>
  <c r="G437" i="7" s="1"/>
  <c r="I7755" i="6"/>
  <c r="I7756" i="6" s="1"/>
  <c r="I7757" i="6" s="1"/>
  <c r="J7741" i="6" s="1"/>
  <c r="G442" i="7" s="1"/>
  <c r="I7883" i="6"/>
  <c r="I7884" i="6" s="1"/>
  <c r="I7885" i="6" s="1"/>
  <c r="J7867" i="6" s="1"/>
  <c r="G449" i="7" s="1"/>
  <c r="I6922" i="6"/>
  <c r="I6923" i="6" s="1"/>
  <c r="I6924" i="6" s="1"/>
  <c r="J6903" i="6" s="1"/>
  <c r="G396" i="7" s="1"/>
  <c r="I5891" i="6"/>
  <c r="I5892" i="6" s="1"/>
  <c r="I5893" i="6" s="1"/>
  <c r="J5877" i="6" s="1"/>
  <c r="G333" i="7" s="1"/>
  <c r="I7773" i="6"/>
  <c r="I7774" i="6" s="1"/>
  <c r="I7775" i="6" s="1"/>
  <c r="J7759" i="6" s="1"/>
  <c r="G443" i="7" s="1"/>
  <c r="I4788" i="6"/>
  <c r="I4789" i="6" s="1"/>
  <c r="I4790" i="6" s="1"/>
  <c r="J4774" i="6" s="1"/>
  <c r="G269" i="7" s="1"/>
  <c r="I4955" i="6"/>
  <c r="I4956" i="6" s="1"/>
  <c r="I4957" i="6" s="1"/>
  <c r="J4941" i="6" s="1"/>
  <c r="G280" i="7" s="1"/>
  <c r="I4844" i="6"/>
  <c r="I4845" i="6" s="1"/>
  <c r="I4846" i="6" s="1"/>
  <c r="J4829" i="6" s="1"/>
  <c r="G272" i="7" s="1"/>
  <c r="I4900" i="6"/>
  <c r="I4901" i="6" s="1"/>
  <c r="I4902" i="6" s="1"/>
  <c r="J4886" i="6" s="1"/>
  <c r="G275" i="7" s="1"/>
  <c r="I3195" i="6"/>
  <c r="I3196" i="6" s="1"/>
  <c r="I3197" i="6" s="1"/>
  <c r="J3181" i="6" s="1"/>
  <c r="G184" i="7" s="1"/>
  <c r="I2992" i="6"/>
  <c r="I2993" i="6" s="1"/>
  <c r="I2994" i="6" s="1"/>
  <c r="J2977" i="6" s="1"/>
  <c r="G171" i="7" s="1"/>
  <c r="I966" i="6"/>
  <c r="I967" i="6" s="1"/>
  <c r="I968" i="6" s="1"/>
  <c r="J950" i="6" s="1"/>
  <c r="G67" i="7" s="1"/>
  <c r="I7863" i="6"/>
  <c r="I7864" i="6" s="1"/>
  <c r="I7865" i="6" s="1"/>
  <c r="J7849" i="6" s="1"/>
  <c r="G448" i="7" s="1"/>
  <c r="I6784" i="6"/>
  <c r="I6785" i="6" s="1"/>
  <c r="I6786" i="6" s="1"/>
  <c r="J6770" i="6" s="1"/>
  <c r="G386" i="7" s="1"/>
  <c r="I5027" i="6"/>
  <c r="I5028" i="6" s="1"/>
  <c r="I5029" i="6" s="1"/>
  <c r="J5013" i="6" s="1"/>
  <c r="G284" i="7" s="1"/>
  <c r="I5251" i="6"/>
  <c r="I5252" i="6" s="1"/>
  <c r="I5253" i="6" s="1"/>
  <c r="J5236" i="6" s="1"/>
  <c r="G298" i="7" s="1"/>
  <c r="I5323" i="6"/>
  <c r="I5324" i="6" s="1"/>
  <c r="I5325" i="6" s="1"/>
  <c r="J5309" i="6" s="1"/>
  <c r="G302" i="7" s="1"/>
  <c r="I4937" i="6"/>
  <c r="I4938" i="6" s="1"/>
  <c r="I4939" i="6" s="1"/>
  <c r="J4923" i="6" s="1"/>
  <c r="G279" i="7" s="1"/>
  <c r="I3069" i="6"/>
  <c r="I3070" i="6" s="1"/>
  <c r="I3071" i="6" s="1"/>
  <c r="J3055" i="6" s="1"/>
  <c r="G177" i="7" s="1"/>
  <c r="I2934" i="6"/>
  <c r="I2935" i="6" s="1"/>
  <c r="I2936" i="6" s="1"/>
  <c r="J2918" i="6" s="1"/>
  <c r="G168" i="7" s="1"/>
  <c r="I2834" i="6"/>
  <c r="I2835" i="6" s="1"/>
  <c r="I2836" i="6" s="1"/>
  <c r="J2818" i="6" s="1"/>
  <c r="G163" i="7" s="1"/>
  <c r="I804" i="6"/>
  <c r="I805" i="6" s="1"/>
  <c r="I806" i="6" s="1"/>
  <c r="J788" i="6" s="1"/>
  <c r="G59" i="7" s="1"/>
  <c r="I1499" i="6"/>
  <c r="I1500" i="6" s="1"/>
  <c r="I1501" i="6" s="1"/>
  <c r="J1474" i="6" s="1"/>
  <c r="G91" i="7" s="1"/>
  <c r="I5503" i="6"/>
  <c r="I5504" i="6" s="1"/>
  <c r="I5505" i="6" s="1"/>
  <c r="J5489" i="6" s="1"/>
  <c r="G312" i="7" s="1"/>
  <c r="I5467" i="6"/>
  <c r="I5468" i="6" s="1"/>
  <c r="I5469" i="6" s="1"/>
  <c r="J5453" i="6" s="1"/>
  <c r="G310" i="7" s="1"/>
  <c r="I5065" i="6"/>
  <c r="I5066" i="6" s="1"/>
  <c r="I5067" i="6" s="1"/>
  <c r="J5049" i="6" s="1"/>
  <c r="G286" i="7" s="1"/>
  <c r="I906" i="6"/>
  <c r="I907" i="6" s="1"/>
  <c r="I908" i="6" s="1"/>
  <c r="J890" i="6" s="1"/>
  <c r="G64" i="7" s="1"/>
  <c r="I1551" i="6"/>
  <c r="I1552" i="6" s="1"/>
  <c r="I1553" i="6" s="1"/>
  <c r="J1529" i="6" s="1"/>
  <c r="G93" i="7" s="1"/>
  <c r="I1470" i="6"/>
  <c r="I1471" i="6" s="1"/>
  <c r="I1472" i="6" s="1"/>
  <c r="J1445" i="6" s="1"/>
  <c r="G90" i="7" s="1"/>
  <c r="I7737" i="6"/>
  <c r="I7738" i="6" s="1"/>
  <c r="I7739" i="6" s="1"/>
  <c r="J7723" i="6" s="1"/>
  <c r="G441" i="7" s="1"/>
  <c r="I3343" i="6"/>
  <c r="I3344" i="6" s="1"/>
  <c r="I3345" i="6" s="1"/>
  <c r="J3329" i="6" s="1"/>
  <c r="G192" i="7" s="1"/>
  <c r="I1383" i="6"/>
  <c r="I1384" i="6" s="1"/>
  <c r="I1385" i="6" s="1"/>
  <c r="J1358" i="6" s="1"/>
  <c r="G87" i="7" s="1"/>
  <c r="L32" i="9"/>
  <c r="K32" i="9" s="1"/>
  <c r="K31" i="9"/>
  <c r="I6819" i="6"/>
  <c r="I6820" i="6" s="1"/>
  <c r="J6805" i="6" s="1"/>
  <c r="G388" i="7" s="1"/>
  <c r="I6473" i="6"/>
  <c r="I6474" i="6" s="1"/>
  <c r="J6459" i="6" s="1"/>
  <c r="G368" i="7" s="1"/>
  <c r="I6576" i="6"/>
  <c r="I6577" i="6" s="1"/>
  <c r="J6561" i="6" s="1"/>
  <c r="G374" i="7" s="1"/>
  <c r="I6900" i="6"/>
  <c r="I6901" i="6" s="1"/>
  <c r="J6888" i="6" s="1"/>
  <c r="G395" i="7" s="1"/>
  <c r="I6594" i="6"/>
  <c r="I6595" i="6" s="1"/>
  <c r="J6579" i="6" s="1"/>
  <c r="G375" i="7" s="1"/>
  <c r="I6134" i="6"/>
  <c r="I6135" i="6" s="1"/>
  <c r="J6117" i="6" s="1"/>
  <c r="G348" i="7" s="1"/>
  <c r="I6558" i="6"/>
  <c r="I6559" i="6" s="1"/>
  <c r="J6544" i="6" s="1"/>
  <c r="G373" i="7" s="1"/>
  <c r="I5486" i="6"/>
  <c r="I5487" i="6" s="1"/>
  <c r="J5471" i="6" s="1"/>
  <c r="G311" i="7" s="1"/>
  <c r="I6628" i="6"/>
  <c r="I6629" i="6" s="1"/>
  <c r="J6614" i="6" s="1"/>
  <c r="G377" i="7" s="1"/>
  <c r="I5270" i="6"/>
  <c r="I5271" i="6" s="1"/>
  <c r="J5255" i="6" s="1"/>
  <c r="G299" i="7" s="1"/>
  <c r="I2230" i="6"/>
  <c r="I2231" i="6" s="1"/>
  <c r="J2216" i="6" s="1"/>
  <c r="G129" i="7" s="1"/>
  <c r="I1047" i="6"/>
  <c r="I1048" i="6" s="1"/>
  <c r="J1033" i="6" s="1"/>
  <c r="G71" i="7" s="1"/>
  <c r="I351" i="6"/>
  <c r="I352" i="6" s="1"/>
  <c r="J340" i="6" s="1"/>
  <c r="G29" i="7" s="1"/>
  <c r="I2875" i="6"/>
  <c r="I2876" i="6" s="1"/>
  <c r="J2858" i="6" s="1"/>
  <c r="G165" i="7" s="1"/>
  <c r="I3832" i="6"/>
  <c r="I3833" i="6" s="1"/>
  <c r="J3815" i="6" s="1"/>
  <c r="G220" i="7" s="1"/>
  <c r="I1064" i="6"/>
  <c r="I1065" i="6" s="1"/>
  <c r="J1050" i="6" s="1"/>
  <c r="G72" i="7" s="1"/>
  <c r="I7792" i="6"/>
  <c r="I7793" i="6" s="1"/>
  <c r="J7777" i="6" s="1"/>
  <c r="G444" i="7" s="1"/>
  <c r="I6679" i="6"/>
  <c r="I6680" i="6" s="1"/>
  <c r="J6665" i="6" s="1"/>
  <c r="G380" i="7" s="1"/>
  <c r="I6398" i="6"/>
  <c r="I6399" i="6" s="1"/>
  <c r="J6381" i="6" s="1"/>
  <c r="G362" i="7" s="1"/>
  <c r="I6802" i="6"/>
  <c r="I6803" i="6" s="1"/>
  <c r="J6788" i="6" s="1"/>
  <c r="G387" i="7" s="1"/>
  <c r="I5648" i="6"/>
  <c r="I5649" i="6" s="1"/>
  <c r="J5633" i="6" s="1"/>
  <c r="G320" i="7" s="1"/>
  <c r="I5195" i="6"/>
  <c r="I5196" i="6" s="1"/>
  <c r="J5181" i="6" s="1"/>
  <c r="G295" i="7" s="1"/>
  <c r="I284" i="6"/>
  <c r="I285" i="6" s="1"/>
  <c r="J273" i="6" s="1"/>
  <c r="G23" i="7" s="1"/>
  <c r="I2431" i="6"/>
  <c r="I2432" i="6" s="1"/>
  <c r="J2415" i="6" s="1"/>
  <c r="G140" i="7" s="1"/>
  <c r="I2102" i="6"/>
  <c r="I2103" i="6" s="1"/>
  <c r="J2088" i="6" s="1"/>
  <c r="G122" i="7" s="1"/>
  <c r="I2049" i="6"/>
  <c r="I2050" i="6" s="1"/>
  <c r="J2037" i="6" s="1"/>
  <c r="G117" i="7" s="1"/>
  <c r="I1081" i="6"/>
  <c r="I1082" i="6" s="1"/>
  <c r="J1067" i="6" s="1"/>
  <c r="G73" i="7" s="1"/>
  <c r="I2034" i="6"/>
  <c r="I2035" i="6" s="1"/>
  <c r="J2023" i="6" s="1"/>
  <c r="G116" i="7" s="1"/>
  <c r="I1758" i="6"/>
  <c r="I1759" i="6" s="1"/>
  <c r="J1744" i="6" s="1"/>
  <c r="G106" i="7" s="1"/>
  <c r="I301" i="6"/>
  <c r="I302" i="6" s="1"/>
  <c r="J287" i="6" s="1"/>
  <c r="G24" i="7" s="1"/>
  <c r="I7416" i="6"/>
  <c r="I7417" i="6" s="1"/>
  <c r="J7398" i="6" s="1"/>
  <c r="G424" i="7" s="1"/>
  <c r="I7702" i="6"/>
  <c r="I7703" i="6" s="1"/>
  <c r="J7687" i="6" s="1"/>
  <c r="G439" i="7" s="1"/>
  <c r="I6997" i="6"/>
  <c r="I6998" i="6" s="1"/>
  <c r="J6985" i="6" s="1"/>
  <c r="G400" i="7" s="1"/>
  <c r="I6611" i="6"/>
  <c r="I6612" i="6" s="1"/>
  <c r="J6597" i="6" s="1"/>
  <c r="G376" i="7" s="1"/>
  <c r="I6358" i="6"/>
  <c r="I6359" i="6" s="1"/>
  <c r="J6343" i="6" s="1"/>
  <c r="G360" i="7" s="1"/>
  <c r="I7358" i="6"/>
  <c r="I3523" i="6"/>
  <c r="I3524" i="6" s="1"/>
  <c r="J3508" i="6" s="1"/>
  <c r="G202" i="7" s="1"/>
  <c r="I464" i="6"/>
  <c r="I465" i="6" s="1"/>
  <c r="J453" i="6" s="1"/>
  <c r="G37" i="7" s="1"/>
  <c r="I3505" i="6"/>
  <c r="I3506" i="6" s="1"/>
  <c r="J3491" i="6" s="1"/>
  <c r="G201" i="7" s="1"/>
  <c r="I1775" i="6"/>
  <c r="I1776" i="6" s="1"/>
  <c r="J1761" i="6" s="1"/>
  <c r="G107" i="7" s="1"/>
  <c r="I435" i="6"/>
  <c r="I436" i="6" s="1"/>
  <c r="J424" i="6" s="1"/>
  <c r="G35" i="7" s="1"/>
  <c r="I2247" i="6"/>
  <c r="I2248" i="6" s="1"/>
  <c r="J2233" i="6" s="1"/>
  <c r="G130" i="7" s="1"/>
  <c r="I528" i="6"/>
  <c r="I529" i="6" s="1"/>
  <c r="J516" i="6" s="1"/>
  <c r="G41" i="7" s="1"/>
  <c r="I450" i="6"/>
  <c r="I451" i="6" s="1"/>
  <c r="J438" i="6" s="1"/>
  <c r="G36" i="7" s="1"/>
  <c r="I2485" i="6"/>
  <c r="I2486" i="6" s="1"/>
  <c r="J2470" i="6" s="1"/>
  <c r="G143" i="7" s="1"/>
  <c r="I1726" i="6"/>
  <c r="I1727" i="6" s="1"/>
  <c r="J1714" i="6" s="1"/>
  <c r="G104" i="7" s="1"/>
  <c r="I7339" i="6"/>
  <c r="I7340" i="6" s="1"/>
  <c r="J7322" i="6" s="1"/>
  <c r="G420" i="7" s="1"/>
  <c r="I7528" i="6"/>
  <c r="I7529" i="6" s="1"/>
  <c r="J7514" i="6" s="1"/>
  <c r="G430" i="7" s="1"/>
  <c r="I6541" i="6"/>
  <c r="I6542" i="6" s="1"/>
  <c r="J6527" i="6" s="1"/>
  <c r="G372" i="7" s="1"/>
  <c r="I6378" i="6"/>
  <c r="I6379" i="6" s="1"/>
  <c r="J6361" i="6" s="1"/>
  <c r="G361" i="7" s="1"/>
  <c r="I7394" i="6"/>
  <c r="I5760" i="6"/>
  <c r="I5761" i="6" s="1"/>
  <c r="J5745" i="6" s="1"/>
  <c r="G326" i="7" s="1"/>
  <c r="I2337" i="6"/>
  <c r="I2338" i="6" s="1"/>
  <c r="J2323" i="6" s="1"/>
  <c r="G135" i="7" s="1"/>
  <c r="I407" i="6"/>
  <c r="I408" i="6" s="1"/>
  <c r="J396" i="6" s="1"/>
  <c r="G33" i="7" s="1"/>
  <c r="I1711" i="6"/>
  <c r="I1712" i="6" s="1"/>
  <c r="J1699" i="6" s="1"/>
  <c r="G103" i="7" s="1"/>
  <c r="I379" i="6"/>
  <c r="I380" i="6" s="1"/>
  <c r="J368" i="6" s="1"/>
  <c r="G31" i="7" s="1"/>
  <c r="I513" i="6"/>
  <c r="I514" i="6" s="1"/>
  <c r="J501" i="6" s="1"/>
  <c r="G40" i="7" s="1"/>
  <c r="I337" i="6"/>
  <c r="I338" i="6" s="1"/>
  <c r="J326" i="6" s="1"/>
  <c r="G28" i="7" s="1"/>
  <c r="I393" i="6"/>
  <c r="I394" i="6" s="1"/>
  <c r="J382" i="6" s="1"/>
  <c r="G32" i="7" s="1"/>
  <c r="I1987" i="6"/>
  <c r="I1988" i="6" s="1"/>
  <c r="J1972" i="6" s="1"/>
  <c r="G113" i="7" s="1"/>
  <c r="I421" i="6"/>
  <c r="I422" i="6" s="1"/>
  <c r="J410" i="6" s="1"/>
  <c r="G34" i="7" s="1"/>
  <c r="I7472" i="6"/>
  <c r="I7716" i="6"/>
  <c r="I7719" i="6" s="1"/>
  <c r="I6645" i="6"/>
  <c r="I6646" i="6" s="1"/>
  <c r="J6631" i="6" s="1"/>
  <c r="G378" i="7" s="1"/>
  <c r="I7608" i="6"/>
  <c r="I7611" i="6" s="1"/>
  <c r="I6713" i="6"/>
  <c r="I6714" i="6" s="1"/>
  <c r="J6699" i="6" s="1"/>
  <c r="G382" i="7" s="1"/>
  <c r="I4736" i="6"/>
  <c r="I4737" i="6" s="1"/>
  <c r="J4721" i="6" s="1"/>
  <c r="G266" i="7" s="1"/>
  <c r="I4499" i="6"/>
  <c r="I4500" i="6" s="1"/>
  <c r="J4484" i="6" s="1"/>
  <c r="G254" i="7" s="1"/>
  <c r="I3969" i="6"/>
  <c r="I3970" i="6" s="1"/>
  <c r="J3952" i="6" s="1"/>
  <c r="G227" i="7" s="1"/>
  <c r="I2524" i="6"/>
  <c r="I4227" i="6"/>
  <c r="I4228" i="6" s="1"/>
  <c r="J4210" i="6" s="1"/>
  <c r="G240" i="7" s="1"/>
  <c r="I1969" i="6"/>
  <c r="I1970" i="6" s="1"/>
  <c r="J1954" i="6" s="1"/>
  <c r="G112" i="7" s="1"/>
  <c r="I2264" i="6"/>
  <c r="I2265" i="6" s="1"/>
  <c r="J2250" i="6" s="1"/>
  <c r="G131" i="7" s="1"/>
  <c r="I1792" i="6"/>
  <c r="I1793" i="6" s="1"/>
  <c r="J1778" i="6" s="1"/>
  <c r="G108" i="7" s="1"/>
  <c r="I7810" i="6"/>
  <c r="I7811" i="6" s="1"/>
  <c r="J7795" i="6" s="1"/>
  <c r="G445" i="7" s="1"/>
  <c r="I6696" i="6"/>
  <c r="I6697" i="6" s="1"/>
  <c r="J6682" i="6" s="1"/>
  <c r="G381" i="7" s="1"/>
  <c r="I6836" i="6"/>
  <c r="I6837" i="6" s="1"/>
  <c r="J6822" i="6" s="1"/>
  <c r="G389" i="7" s="1"/>
  <c r="I3417" i="6"/>
  <c r="I3418" i="6" s="1"/>
  <c r="J3402" i="6" s="1"/>
  <c r="G196" i="7" s="1"/>
  <c r="I6885" i="6"/>
  <c r="I6886" i="6" s="1"/>
  <c r="J6873" i="6" s="1"/>
  <c r="G394" i="7" s="1"/>
  <c r="I5178" i="6"/>
  <c r="I5179" i="6" s="1"/>
  <c r="J5164" i="6" s="1"/>
  <c r="G294" i="7" s="1"/>
  <c r="I4307" i="6"/>
  <c r="I4308" i="6" s="1"/>
  <c r="J4290" i="6" s="1"/>
  <c r="G244" i="7" s="1"/>
  <c r="I2855" i="6"/>
  <c r="I2856" i="6" s="1"/>
  <c r="J2838" i="6" s="1"/>
  <c r="G164" i="7" s="1"/>
  <c r="I2503" i="6"/>
  <c r="I2504" i="6" s="1"/>
  <c r="J2488" i="6" s="1"/>
  <c r="G144" i="7" s="1"/>
  <c r="I179" i="6"/>
  <c r="I180" i="6" s="1"/>
  <c r="J168" i="6" s="1"/>
  <c r="G17" i="7" s="1"/>
  <c r="I71" i="6"/>
  <c r="I72" i="6" s="1"/>
  <c r="J52" i="6" s="1"/>
  <c r="G12" i="7" s="1"/>
  <c r="I1741" i="6"/>
  <c r="I1742" i="6" s="1"/>
  <c r="J1729" i="6" s="1"/>
  <c r="G105" i="7" s="1"/>
  <c r="I270" i="6"/>
  <c r="I271" i="6" s="1"/>
  <c r="J258" i="6" s="1"/>
  <c r="G22" i="7" s="1"/>
  <c r="I2545" i="6"/>
  <c r="I2546" i="6" s="1"/>
  <c r="J2529" i="6" s="1"/>
  <c r="G146" i="7" s="1"/>
  <c r="I2119" i="6"/>
  <c r="I2120" i="6" s="1"/>
  <c r="J2105" i="6" s="1"/>
  <c r="G123" i="7" s="1"/>
  <c r="I847" i="6"/>
  <c r="I848" i="6" s="1"/>
  <c r="J830" i="6" s="1"/>
  <c r="G61" i="7" s="1"/>
  <c r="I2020" i="6"/>
  <c r="I2021" i="6" s="1"/>
  <c r="J2008" i="6" s="1"/>
  <c r="G115" i="7" s="1"/>
  <c r="I5927" i="6"/>
  <c r="I5928" i="6" s="1"/>
  <c r="J5913" i="6" s="1"/>
  <c r="G335" i="7" s="1"/>
  <c r="I6524" i="6"/>
  <c r="I6525" i="6" s="1"/>
  <c r="J6510" i="6" s="1"/>
  <c r="G371" i="7" s="1"/>
  <c r="I6662" i="6"/>
  <c r="I6663" i="6" s="1"/>
  <c r="J6648" i="6" s="1"/>
  <c r="G379" i="7" s="1"/>
  <c r="I6490" i="6"/>
  <c r="I6491" i="6" s="1"/>
  <c r="J6476" i="6" s="1"/>
  <c r="G369" i="7" s="1"/>
  <c r="I6507" i="6"/>
  <c r="I6508" i="6" s="1"/>
  <c r="J6493" i="6" s="1"/>
  <c r="G370" i="7" s="1"/>
  <c r="I6963" i="6"/>
  <c r="I6964" i="6" s="1"/>
  <c r="J6949" i="6" s="1"/>
  <c r="G398" i="7" s="1"/>
  <c r="I7070" i="6"/>
  <c r="I7071" i="6" s="1"/>
  <c r="J7056" i="6" s="1"/>
  <c r="G404" i="7" s="1"/>
  <c r="I6870" i="6"/>
  <c r="I6871" i="6" s="1"/>
  <c r="J6858" i="6" s="1"/>
  <c r="G393" i="7" s="1"/>
  <c r="I5781" i="6"/>
  <c r="I5782" i="6" s="1"/>
  <c r="J5763" i="6" s="1"/>
  <c r="G327" i="7" s="1"/>
  <c r="I5432" i="6"/>
  <c r="I5433" i="6" s="1"/>
  <c r="J5417" i="6" s="1"/>
  <c r="G308" i="7" s="1"/>
  <c r="I4049" i="6"/>
  <c r="I4050" i="6" s="1"/>
  <c r="J4032" i="6" s="1"/>
  <c r="G231" i="7" s="1"/>
  <c r="I5161" i="6"/>
  <c r="I5162" i="6" s="1"/>
  <c r="J5147" i="6" s="1"/>
  <c r="G293" i="7" s="1"/>
  <c r="I3488" i="6"/>
  <c r="I3489" i="6" s="1"/>
  <c r="J3474" i="6" s="1"/>
  <c r="G200" i="7" s="1"/>
  <c r="I4771" i="6"/>
  <c r="I4772" i="6" s="1"/>
  <c r="J4757" i="6" s="1"/>
  <c r="G268" i="7" s="1"/>
  <c r="I3435" i="6"/>
  <c r="I3436" i="6" s="1"/>
  <c r="J3420" i="6" s="1"/>
  <c r="G197" i="7" s="1"/>
  <c r="I2084" i="6"/>
  <c r="I2085" i="6" s="1"/>
  <c r="J2071" i="6" s="1"/>
  <c r="G119" i="7" s="1"/>
  <c r="I1675" i="6"/>
  <c r="I1676" i="6" s="1"/>
  <c r="J1658" i="6" s="1"/>
  <c r="G101" i="7" s="1"/>
  <c r="I3540" i="6"/>
  <c r="I3541" i="6" s="1"/>
  <c r="J3526" i="6" s="1"/>
  <c r="G203" i="7" s="1"/>
  <c r="I644" i="6"/>
  <c r="I645" i="6" s="1"/>
  <c r="J627" i="6" s="1"/>
  <c r="G49" i="7" s="1"/>
  <c r="I479" i="6"/>
  <c r="I480" i="6" s="1"/>
  <c r="J467" i="6" s="1"/>
  <c r="G38" i="7" s="1"/>
  <c r="I365" i="6"/>
  <c r="I366" i="6" s="1"/>
  <c r="J354" i="6" s="1"/>
  <c r="G30" i="7" s="1"/>
  <c r="I2213" i="6"/>
  <c r="I2214" i="6" s="1"/>
  <c r="J2199" i="6" s="1"/>
  <c r="G128" i="7" s="1"/>
  <c r="I1997" i="6" l="1"/>
  <c r="I2004" i="6" s="1"/>
  <c r="I2005" i="6" s="1"/>
  <c r="I2006" i="6" s="1"/>
  <c r="J1990" i="6" s="1"/>
  <c r="G114" i="7" s="1"/>
  <c r="J74" i="6"/>
  <c r="G13" i="7" s="1"/>
  <c r="F54" i="4"/>
  <c r="G71" i="12"/>
  <c r="G73" i="12"/>
  <c r="F56" i="4"/>
  <c r="F56" i="11"/>
  <c r="G99" i="12"/>
  <c r="H99" i="12" s="1"/>
  <c r="F82" i="4"/>
  <c r="G82" i="4" s="1"/>
  <c r="F82" i="11"/>
  <c r="G82" i="11" s="1"/>
  <c r="G34" i="12"/>
  <c r="G105" i="12"/>
  <c r="H105" i="12" s="1"/>
  <c r="G92" i="12"/>
  <c r="G84" i="12"/>
  <c r="G70" i="12"/>
  <c r="G107" i="12"/>
  <c r="H107" i="12" s="1"/>
  <c r="G78" i="12"/>
  <c r="G129" i="12"/>
  <c r="H129" i="12" s="1"/>
  <c r="G80" i="12"/>
  <c r="H80" i="12" s="1"/>
  <c r="G79" i="12"/>
  <c r="G43" i="12"/>
  <c r="G88" i="12"/>
  <c r="H88" i="12" s="1"/>
  <c r="G27" i="12"/>
  <c r="G134" i="12" s="1"/>
  <c r="G122" i="12"/>
  <c r="H122" i="12" s="1"/>
  <c r="G91" i="12"/>
  <c r="G103" i="12"/>
  <c r="H103" i="12" s="1"/>
  <c r="G76" i="12"/>
  <c r="G104" i="12"/>
  <c r="H104" i="12" s="1"/>
  <c r="G112" i="12"/>
  <c r="G69" i="12"/>
  <c r="G40" i="12"/>
  <c r="G77" i="12"/>
  <c r="G83" i="12"/>
  <c r="G87" i="12"/>
  <c r="H87" i="12" s="1"/>
  <c r="G106" i="12"/>
  <c r="H106" i="12" s="1"/>
  <c r="G93" i="12"/>
  <c r="G42" i="12"/>
  <c r="G117" i="12"/>
  <c r="G72" i="12"/>
  <c r="G113" i="12"/>
  <c r="G60" i="12"/>
  <c r="H60" i="12" s="1"/>
  <c r="G64" i="12"/>
  <c r="H64" i="12" s="1"/>
  <c r="G118" i="12"/>
  <c r="H118" i="12" s="1"/>
  <c r="G39" i="12"/>
  <c r="G116" i="12"/>
  <c r="G33" i="12"/>
  <c r="G121" i="12"/>
  <c r="H121" i="12" s="1"/>
  <c r="G120" i="12"/>
  <c r="H120" i="12" s="1"/>
  <c r="G51" i="12"/>
  <c r="G63" i="12"/>
  <c r="G47" i="12"/>
  <c r="G59" i="12"/>
  <c r="G55" i="12"/>
  <c r="G41" i="12"/>
  <c r="G131" i="12"/>
  <c r="G119" i="12"/>
  <c r="H119" i="12" s="1"/>
  <c r="G35" i="12"/>
  <c r="G36" i="12"/>
  <c r="G89" i="12"/>
  <c r="H89" i="12" s="1"/>
  <c r="G90" i="12"/>
  <c r="H90" i="12" s="1"/>
  <c r="G61" i="12"/>
  <c r="G57" i="12"/>
  <c r="G65" i="12"/>
  <c r="G53" i="12"/>
  <c r="G49" i="12"/>
  <c r="G111" i="12"/>
  <c r="G110" i="12"/>
  <c r="G128" i="12"/>
  <c r="H128" i="12" s="1"/>
  <c r="G125" i="12"/>
  <c r="H125" i="12" s="1"/>
  <c r="G124" i="12"/>
  <c r="H124" i="12" s="1"/>
  <c r="G56" i="12"/>
  <c r="G52" i="12"/>
  <c r="G48" i="12"/>
  <c r="G127" i="12"/>
  <c r="H127" i="12" s="1"/>
  <c r="G126" i="12"/>
  <c r="H126" i="12" s="1"/>
  <c r="G123" i="12"/>
  <c r="H123" i="12" s="1"/>
  <c r="F94" i="11"/>
  <c r="F93" i="11"/>
  <c r="F86" i="4"/>
  <c r="G86" i="4" s="1"/>
  <c r="F86" i="11"/>
  <c r="G86" i="11" s="1"/>
  <c r="F75" i="4"/>
  <c r="F75" i="11"/>
  <c r="F55" i="4"/>
  <c r="F55" i="11"/>
  <c r="F96" i="4"/>
  <c r="F96" i="11"/>
  <c r="F17" i="4"/>
  <c r="F17" i="11"/>
  <c r="F76" i="4"/>
  <c r="F76" i="11"/>
  <c r="F61" i="4"/>
  <c r="F61" i="11"/>
  <c r="F67" i="4"/>
  <c r="F67" i="11"/>
  <c r="F53" i="4"/>
  <c r="F53" i="11"/>
  <c r="F102" i="11"/>
  <c r="G102" i="11" s="1"/>
  <c r="F18" i="11"/>
  <c r="F19" i="11"/>
  <c r="F48" i="11"/>
  <c r="F32" i="11"/>
  <c r="F44" i="11"/>
  <c r="F40" i="11"/>
  <c r="F36" i="11"/>
  <c r="F71" i="4"/>
  <c r="G71" i="4" s="1"/>
  <c r="F71" i="11"/>
  <c r="G71" i="11" s="1"/>
  <c r="F10" i="4"/>
  <c r="F10" i="11"/>
  <c r="F101" i="11"/>
  <c r="G101" i="11" s="1"/>
  <c r="F22" i="11"/>
  <c r="F16" i="11"/>
  <c r="F99" i="11"/>
  <c r="F103" i="11"/>
  <c r="G103" i="11" s="1"/>
  <c r="F104" i="11"/>
  <c r="G104" i="11" s="1"/>
  <c r="F88" i="4"/>
  <c r="G88" i="4" s="1"/>
  <c r="F88" i="11"/>
  <c r="G88" i="11" s="1"/>
  <c r="F25" i="4"/>
  <c r="F25" i="11"/>
  <c r="F112" i="4"/>
  <c r="G112" i="4" s="1"/>
  <c r="F112" i="11"/>
  <c r="G112" i="11" s="1"/>
  <c r="F39" i="11"/>
  <c r="F35" i="11"/>
  <c r="F31" i="11"/>
  <c r="F109" i="11"/>
  <c r="G109" i="11" s="1"/>
  <c r="F110" i="11"/>
  <c r="G110" i="11" s="1"/>
  <c r="F106" i="11"/>
  <c r="G106" i="11" s="1"/>
  <c r="F63" i="4"/>
  <c r="G63" i="4" s="1"/>
  <c r="F63" i="11"/>
  <c r="G63" i="11" s="1"/>
  <c r="F62" i="4"/>
  <c r="F62" i="11"/>
  <c r="F89" i="4"/>
  <c r="G89" i="4" s="1"/>
  <c r="F89" i="11"/>
  <c r="G89" i="11" s="1"/>
  <c r="F108" i="11"/>
  <c r="G108" i="11" s="1"/>
  <c r="F111" i="11"/>
  <c r="G111" i="11" s="1"/>
  <c r="F107" i="11"/>
  <c r="G107" i="11" s="1"/>
  <c r="F100" i="4"/>
  <c r="F100" i="11"/>
  <c r="F26" i="4"/>
  <c r="F26" i="11"/>
  <c r="F90" i="4"/>
  <c r="G90" i="4" s="1"/>
  <c r="F90" i="11"/>
  <c r="G90" i="11" s="1"/>
  <c r="F43" i="11"/>
  <c r="G43" i="11" s="1"/>
  <c r="F47" i="11"/>
  <c r="G47" i="11" s="1"/>
  <c r="F70" i="4"/>
  <c r="G70" i="4" s="1"/>
  <c r="F70" i="11"/>
  <c r="G70" i="11" s="1"/>
  <c r="F72" i="11"/>
  <c r="G72" i="11" s="1"/>
  <c r="F73" i="11"/>
  <c r="G73" i="11" s="1"/>
  <c r="F105" i="4"/>
  <c r="G105" i="4" s="1"/>
  <c r="F105" i="11"/>
  <c r="G105" i="11" s="1"/>
  <c r="F74" i="4"/>
  <c r="F74" i="11"/>
  <c r="F59" i="4"/>
  <c r="F59" i="11"/>
  <c r="F87" i="4"/>
  <c r="G87" i="4" s="1"/>
  <c r="F87" i="11"/>
  <c r="G87" i="11" s="1"/>
  <c r="F38" i="11"/>
  <c r="F34" i="11"/>
  <c r="F42" i="11"/>
  <c r="F46" i="11"/>
  <c r="F30" i="11"/>
  <c r="F95" i="4"/>
  <c r="F95" i="11"/>
  <c r="F52" i="4"/>
  <c r="F52" i="11"/>
  <c r="F23" i="4"/>
  <c r="F23" i="11"/>
  <c r="F24" i="11"/>
  <c r="F114" i="11"/>
  <c r="F60" i="4"/>
  <c r="F60" i="11"/>
  <c r="F66" i="4"/>
  <c r="F66" i="11"/>
  <c r="F111" i="4"/>
  <c r="G111" i="4" s="1"/>
  <c r="F107" i="4"/>
  <c r="G107" i="4" s="1"/>
  <c r="F108" i="4"/>
  <c r="G108" i="4" s="1"/>
  <c r="F110" i="4"/>
  <c r="G110" i="4" s="1"/>
  <c r="F106" i="4"/>
  <c r="G106" i="4" s="1"/>
  <c r="F109" i="4"/>
  <c r="G109" i="4" s="1"/>
  <c r="F117" i="4"/>
  <c r="F103" i="4"/>
  <c r="G103" i="4" s="1"/>
  <c r="F104" i="4"/>
  <c r="G104" i="4" s="1"/>
  <c r="F24" i="4"/>
  <c r="F114" i="4"/>
  <c r="F102" i="4"/>
  <c r="G102" i="4" s="1"/>
  <c r="F22" i="4"/>
  <c r="F101" i="4"/>
  <c r="G101" i="4" s="1"/>
  <c r="F93" i="4"/>
  <c r="F94" i="4"/>
  <c r="F16" i="4"/>
  <c r="F99" i="4"/>
  <c r="F72" i="4"/>
  <c r="G72" i="4" s="1"/>
  <c r="F73" i="4"/>
  <c r="G73" i="4" s="1"/>
  <c r="F43" i="4"/>
  <c r="G43" i="4" s="1"/>
  <c r="F47" i="4"/>
  <c r="G47" i="4" s="1"/>
  <c r="F40" i="4"/>
  <c r="F36" i="4"/>
  <c r="F44" i="4"/>
  <c r="F48" i="4"/>
  <c r="F32" i="4"/>
  <c r="F31" i="4"/>
  <c r="F39" i="4"/>
  <c r="F35" i="4"/>
  <c r="F30" i="4"/>
  <c r="F38" i="4"/>
  <c r="F34" i="4"/>
  <c r="F46" i="4"/>
  <c r="F42" i="4"/>
  <c r="B213" i="8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B289" i="8" s="1"/>
  <c r="B290" i="8" s="1"/>
  <c r="B291" i="8" s="1"/>
  <c r="B292" i="8" s="1"/>
  <c r="B293" i="8" s="1"/>
  <c r="B294" i="8" s="1"/>
  <c r="B295" i="8" s="1"/>
  <c r="B296" i="8" s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353" i="8" s="1"/>
  <c r="B354" i="8" s="1"/>
  <c r="B355" i="8" s="1"/>
  <c r="B356" i="8" s="1"/>
  <c r="B357" i="8" s="1"/>
  <c r="B358" i="8" s="1"/>
  <c r="B359" i="8" s="1"/>
  <c r="B360" i="8" s="1"/>
  <c r="B361" i="8" s="1"/>
  <c r="B362" i="8" s="1"/>
  <c r="B363" i="8" s="1"/>
  <c r="B364" i="8" s="1"/>
  <c r="B365" i="8" s="1"/>
  <c r="B366" i="8" s="1"/>
  <c r="B367" i="8" s="1"/>
  <c r="B368" i="8" s="1"/>
  <c r="B369" i="8" s="1"/>
  <c r="B370" i="8" s="1"/>
  <c r="B371" i="8" s="1"/>
  <c r="B372" i="8" s="1"/>
  <c r="B373" i="8" s="1"/>
  <c r="B374" i="8" s="1"/>
  <c r="B375" i="8" s="1"/>
  <c r="B376" i="8" s="1"/>
  <c r="B377" i="8" s="1"/>
  <c r="B378" i="8" s="1"/>
  <c r="B379" i="8" s="1"/>
  <c r="B380" i="8" s="1"/>
  <c r="B381" i="8" s="1"/>
  <c r="B382" i="8" s="1"/>
  <c r="B383" i="8" s="1"/>
  <c r="B384" i="8" s="1"/>
  <c r="B385" i="8" s="1"/>
  <c r="B386" i="8" s="1"/>
  <c r="B387" i="8" s="1"/>
  <c r="B388" i="8" s="1"/>
  <c r="B389" i="8" s="1"/>
  <c r="B390" i="8" s="1"/>
  <c r="B391" i="8" s="1"/>
  <c r="B392" i="8" s="1"/>
  <c r="B393" i="8" s="1"/>
  <c r="B394" i="8" s="1"/>
  <c r="B395" i="8" s="1"/>
  <c r="B396" i="8" s="1"/>
  <c r="B397" i="8" s="1"/>
  <c r="B398" i="8" s="1"/>
  <c r="B399" i="8" s="1"/>
  <c r="B400" i="8" s="1"/>
  <c r="B401" i="8" s="1"/>
  <c r="B402" i="8" s="1"/>
  <c r="B403" i="8" s="1"/>
  <c r="B404" i="8" s="1"/>
  <c r="B405" i="8" s="1"/>
  <c r="B406" i="8" s="1"/>
  <c r="B407" i="8" s="1"/>
  <c r="B408" i="8" s="1"/>
  <c r="B409" i="8" s="1"/>
  <c r="B410" i="8" s="1"/>
  <c r="B411" i="8" s="1"/>
  <c r="B412" i="8" s="1"/>
  <c r="B413" i="8" s="1"/>
  <c r="B414" i="8" s="1"/>
  <c r="B415" i="8" s="1"/>
  <c r="B416" i="8" s="1"/>
  <c r="B417" i="8" s="1"/>
  <c r="B418" i="8" s="1"/>
  <c r="B419" i="8" s="1"/>
  <c r="B420" i="8" s="1"/>
  <c r="B421" i="8" s="1"/>
  <c r="B422" i="8" s="1"/>
  <c r="B423" i="8" s="1"/>
  <c r="B424" i="8" s="1"/>
  <c r="B425" i="8" s="1"/>
  <c r="B426" i="8" s="1"/>
  <c r="B427" i="8" s="1"/>
  <c r="B428" i="8" s="1"/>
  <c r="B429" i="8" s="1"/>
  <c r="B430" i="8" s="1"/>
  <c r="B431" i="8" s="1"/>
  <c r="B432" i="8" s="1"/>
  <c r="B434" i="8" s="1"/>
  <c r="B435" i="8" s="1"/>
  <c r="B436" i="8" s="1"/>
  <c r="B437" i="8" s="1"/>
  <c r="B438" i="8" s="1"/>
  <c r="B439" i="8" s="1"/>
  <c r="B440" i="8" s="1"/>
  <c r="B441" i="8" s="1"/>
  <c r="B442" i="8" s="1"/>
  <c r="B443" i="8" s="1"/>
  <c r="B444" i="8" s="1"/>
  <c r="B445" i="8" s="1"/>
  <c r="B446" i="8" s="1"/>
  <c r="B447" i="8" s="1"/>
  <c r="B448" i="8" s="1"/>
  <c r="B449" i="8" s="1"/>
  <c r="B450" i="8" s="1"/>
  <c r="B451" i="8" s="1"/>
  <c r="B452" i="8" s="1"/>
  <c r="B453" i="8" s="1"/>
  <c r="B454" i="8" s="1"/>
  <c r="B455" i="8" s="1"/>
  <c r="B456" i="8" s="1"/>
  <c r="B457" i="8" s="1"/>
  <c r="B458" i="8" s="1"/>
  <c r="B459" i="8" s="1"/>
  <c r="B460" i="8" s="1"/>
  <c r="B461" i="8" s="1"/>
  <c r="B462" i="8" s="1"/>
  <c r="B463" i="8" s="1"/>
  <c r="B464" i="8" s="1"/>
  <c r="B465" i="8" s="1"/>
  <c r="B466" i="8" s="1"/>
  <c r="B467" i="8" s="1"/>
  <c r="B468" i="8" s="1"/>
  <c r="B469" i="8" s="1"/>
  <c r="B470" i="8" s="1"/>
  <c r="B471" i="8" s="1"/>
  <c r="B472" i="8" s="1"/>
  <c r="B473" i="8" s="1"/>
  <c r="B474" i="8" s="1"/>
  <c r="B475" i="8" s="1"/>
  <c r="B476" i="8" s="1"/>
  <c r="B477" i="8" s="1"/>
  <c r="B478" i="8" s="1"/>
  <c r="B479" i="8" s="1"/>
  <c r="B480" i="8" s="1"/>
  <c r="B481" i="8" s="1"/>
  <c r="B482" i="8" s="1"/>
  <c r="B483" i="8" s="1"/>
  <c r="B484" i="8" s="1"/>
  <c r="B485" i="8" s="1"/>
  <c r="B486" i="8" s="1"/>
  <c r="F19" i="4"/>
  <c r="F18" i="4"/>
  <c r="I2177" i="6"/>
  <c r="I2178" i="6" s="1"/>
  <c r="I2179" i="6" s="1"/>
  <c r="H2191" i="6"/>
  <c r="I2191" i="6" s="1"/>
  <c r="I2192" i="6" s="1"/>
  <c r="H2368" i="6"/>
  <c r="I2368" i="6" s="1"/>
  <c r="I2370" i="6" s="1"/>
  <c r="I2373" i="6" s="1"/>
  <c r="I2374" i="6" s="1"/>
  <c r="I2375" i="6" s="1"/>
  <c r="J2358" i="6" s="1"/>
  <c r="G137" i="7" s="1"/>
  <c r="G456" i="7"/>
  <c r="G287" i="7"/>
  <c r="G290" i="7"/>
  <c r="I2354" i="6"/>
  <c r="I2355" i="6" s="1"/>
  <c r="I2356" i="6" s="1"/>
  <c r="J2340" i="6" s="1"/>
  <c r="G136" i="7" s="1"/>
  <c r="I239" i="6"/>
  <c r="J223" i="6" s="1"/>
  <c r="G20" i="7" s="1"/>
  <c r="I7160" i="6"/>
  <c r="I7163" i="6" s="1"/>
  <c r="I7612" i="6"/>
  <c r="I7613" i="6" s="1"/>
  <c r="J7597" i="6" s="1"/>
  <c r="G434" i="7" s="1"/>
  <c r="I7720" i="6"/>
  <c r="I7721" i="6" s="1"/>
  <c r="J7705" i="6" s="1"/>
  <c r="G440" i="7" s="1"/>
  <c r="I7473" i="6"/>
  <c r="I7474" i="6" s="1"/>
  <c r="J7455" i="6" s="1"/>
  <c r="G427" i="7" s="1"/>
  <c r="I7395" i="6"/>
  <c r="I7396" i="6" s="1"/>
  <c r="J7380" i="6" s="1"/>
  <c r="G423" i="7" s="1"/>
  <c r="I2525" i="6"/>
  <c r="I2526" i="6" s="1"/>
  <c r="J2506" i="6" s="1"/>
  <c r="G145" i="7" s="1"/>
  <c r="I7359" i="6"/>
  <c r="I7360" i="6" s="1"/>
  <c r="J7342" i="6" s="1"/>
  <c r="G421" i="7" s="1"/>
  <c r="G28" i="12" l="1"/>
  <c r="F11" i="4"/>
  <c r="F11" i="11"/>
  <c r="G68" i="12"/>
  <c r="G98" i="12"/>
  <c r="H98" i="12" s="1"/>
  <c r="G97" i="12"/>
  <c r="H97" i="12" s="1"/>
  <c r="G96" i="12"/>
  <c r="H96" i="12" s="1"/>
  <c r="F79" i="11"/>
  <c r="G79" i="11" s="1"/>
  <c r="F80" i="11"/>
  <c r="G80" i="11" s="1"/>
  <c r="F81" i="11"/>
  <c r="G81" i="11" s="1"/>
  <c r="F51" i="4"/>
  <c r="F51" i="11"/>
  <c r="F117" i="11"/>
  <c r="F79" i="4"/>
  <c r="G79" i="4" s="1"/>
  <c r="F81" i="4"/>
  <c r="G81" i="4" s="1"/>
  <c r="F80" i="4"/>
  <c r="G80" i="4" s="1"/>
  <c r="J2160" i="6"/>
  <c r="G126" i="7" s="1"/>
  <c r="I2195" i="6"/>
  <c r="I2196" i="6" s="1"/>
  <c r="I2197" i="6" s="1"/>
  <c r="J2180" i="6" s="1"/>
  <c r="G127" i="7" s="1"/>
  <c r="I7164" i="6"/>
  <c r="I7165" i="6" s="1"/>
  <c r="J7147" i="6" s="1"/>
  <c r="G409" i="7" s="1"/>
  <c r="H108" i="12" l="1"/>
  <c r="G91" i="11"/>
  <c r="G91" i="4"/>
  <c r="G19" i="10" s="1"/>
  <c r="U334" i="1"/>
  <c r="U335" i="1"/>
  <c r="U333" i="1"/>
  <c r="S289" i="1"/>
  <c r="T338" i="1" l="1"/>
  <c r="AW276" i="1" l="1"/>
  <c r="AU276" i="1"/>
  <c r="AW269" i="1"/>
  <c r="AU279" i="1"/>
  <c r="AU280" i="1" s="1"/>
  <c r="AK266" i="1"/>
  <c r="AK265" i="1"/>
  <c r="AU277" i="1" l="1"/>
  <c r="AU281" i="1" s="1"/>
  <c r="AU282" i="1" s="1"/>
  <c r="AU283" i="1" s="1"/>
  <c r="AU285" i="1" s="1"/>
  <c r="AL265" i="1"/>
  <c r="AL269" i="1" s="1"/>
  <c r="AU270" i="1"/>
  <c r="AU271" i="1" s="1"/>
  <c r="AU273" i="1" s="1"/>
  <c r="AU296" i="1" l="1"/>
  <c r="AU298" i="1" s="1"/>
  <c r="V67" i="1"/>
  <c r="E12" i="5"/>
  <c r="E11" i="5"/>
  <c r="E13" i="4" l="1"/>
  <c r="G13" i="4" s="1"/>
  <c r="F30" i="12"/>
  <c r="H30" i="12" s="1"/>
  <c r="E13" i="11"/>
  <c r="G13" i="11" s="1"/>
  <c r="E12" i="4"/>
  <c r="G12" i="4" s="1"/>
  <c r="F29" i="12"/>
  <c r="H29" i="12" s="1"/>
  <c r="E12" i="11"/>
  <c r="G12" i="11" s="1"/>
  <c r="S731" i="1"/>
  <c r="S725" i="1"/>
  <c r="S717" i="1"/>
  <c r="S710" i="1"/>
  <c r="S704" i="1"/>
  <c r="AE719" i="1" l="1"/>
  <c r="T853" i="1" s="1"/>
  <c r="AE851" i="1" s="1"/>
  <c r="E113" i="5" s="1"/>
  <c r="F131" i="12" s="1"/>
  <c r="H131" i="12" s="1"/>
  <c r="E114" i="4"/>
  <c r="G114" i="4" s="1"/>
  <c r="AE698" i="1"/>
  <c r="E98" i="5" s="1"/>
  <c r="E99" i="5"/>
  <c r="T693" i="1"/>
  <c r="S685" i="1"/>
  <c r="AG654" i="1"/>
  <c r="E75" i="5" s="1"/>
  <c r="AG653" i="1"/>
  <c r="E74" i="5" s="1"/>
  <c r="E73" i="5"/>
  <c r="E114" i="11" l="1"/>
  <c r="G114" i="11" s="1"/>
  <c r="E99" i="4"/>
  <c r="G99" i="4" s="1"/>
  <c r="F116" i="12"/>
  <c r="H116" i="12" s="1"/>
  <c r="E99" i="11"/>
  <c r="G99" i="11" s="1"/>
  <c r="E75" i="4"/>
  <c r="G75" i="4" s="1"/>
  <c r="F92" i="12"/>
  <c r="H92" i="12" s="1"/>
  <c r="E75" i="11"/>
  <c r="G75" i="11" s="1"/>
  <c r="E74" i="4"/>
  <c r="G74" i="4" s="1"/>
  <c r="F91" i="12"/>
  <c r="H91" i="12" s="1"/>
  <c r="E74" i="11"/>
  <c r="G74" i="11" s="1"/>
  <c r="E76" i="4"/>
  <c r="G76" i="4" s="1"/>
  <c r="F93" i="12"/>
  <c r="H93" i="12" s="1"/>
  <c r="E76" i="11"/>
  <c r="G76" i="11" s="1"/>
  <c r="E100" i="4"/>
  <c r="G100" i="4" s="1"/>
  <c r="G115" i="4" s="1"/>
  <c r="G21" i="10" s="1"/>
  <c r="F117" i="12"/>
  <c r="H117" i="12" s="1"/>
  <c r="E100" i="11"/>
  <c r="G100" i="11" s="1"/>
  <c r="V629" i="1"/>
  <c r="T629" i="1"/>
  <c r="V628" i="1"/>
  <c r="T628" i="1"/>
  <c r="V627" i="1"/>
  <c r="T627" i="1"/>
  <c r="V626" i="1"/>
  <c r="T626" i="1"/>
  <c r="G77" i="4" l="1"/>
  <c r="G18" i="10" s="1"/>
  <c r="G115" i="11"/>
  <c r="H94" i="12"/>
  <c r="H132" i="12"/>
  <c r="G77" i="11"/>
  <c r="X626" i="1"/>
  <c r="X628" i="1"/>
  <c r="U634" i="1" s="1"/>
  <c r="AE633" i="1" s="1"/>
  <c r="E66" i="5" s="1"/>
  <c r="X629" i="1"/>
  <c r="X627" i="1"/>
  <c r="S610" i="1"/>
  <c r="S603" i="1"/>
  <c r="E61" i="5" s="1"/>
  <c r="S595" i="1"/>
  <c r="E60" i="5" s="1"/>
  <c r="S588" i="1"/>
  <c r="E59" i="5" s="1"/>
  <c r="S576" i="1"/>
  <c r="S580" i="1" s="1"/>
  <c r="S564" i="1"/>
  <c r="S568" i="1" s="1"/>
  <c r="S554" i="1"/>
  <c r="S558" i="1" s="1"/>
  <c r="S538" i="1"/>
  <c r="S542" i="1" s="1"/>
  <c r="S525" i="1"/>
  <c r="S529" i="1" s="1"/>
  <c r="S506" i="1"/>
  <c r="S510" i="1" s="1"/>
  <c r="S486" i="1"/>
  <c r="E62" i="4" l="1"/>
  <c r="G62" i="4" s="1"/>
  <c r="F79" i="12"/>
  <c r="H79" i="12" s="1"/>
  <c r="E62" i="11"/>
  <c r="G62" i="11" s="1"/>
  <c r="E60" i="4"/>
  <c r="G60" i="4" s="1"/>
  <c r="F77" i="12"/>
  <c r="H77" i="12" s="1"/>
  <c r="E60" i="11"/>
  <c r="G60" i="11" s="1"/>
  <c r="E67" i="4"/>
  <c r="G67" i="4" s="1"/>
  <c r="F84" i="12"/>
  <c r="H84" i="12" s="1"/>
  <c r="E67" i="11"/>
  <c r="G67" i="11" s="1"/>
  <c r="E61" i="4"/>
  <c r="G61" i="4" s="1"/>
  <c r="F78" i="12"/>
  <c r="H78" i="12" s="1"/>
  <c r="E61" i="11"/>
  <c r="G61" i="11" s="1"/>
  <c r="S631" i="1"/>
  <c r="AE623" i="1" s="1"/>
  <c r="E65" i="5" s="1"/>
  <c r="S490" i="1"/>
  <c r="AF482" i="1" s="1"/>
  <c r="E58" i="5" s="1"/>
  <c r="S683" i="1"/>
  <c r="R687" i="1" s="1"/>
  <c r="S472" i="1"/>
  <c r="Q472" i="1"/>
  <c r="S468" i="1"/>
  <c r="AE468" i="1" s="1"/>
  <c r="S466" i="1"/>
  <c r="S464" i="1"/>
  <c r="AE464" i="1" s="1"/>
  <c r="E59" i="4" l="1"/>
  <c r="G59" i="4" s="1"/>
  <c r="G64" i="4" s="1"/>
  <c r="G16" i="10" s="1"/>
  <c r="F76" i="12"/>
  <c r="H76" i="12" s="1"/>
  <c r="E59" i="11"/>
  <c r="G59" i="11" s="1"/>
  <c r="E66" i="4"/>
  <c r="G66" i="4" s="1"/>
  <c r="G68" i="4" s="1"/>
  <c r="G17" i="10" s="1"/>
  <c r="F83" i="12"/>
  <c r="H83" i="12" s="1"/>
  <c r="E66" i="11"/>
  <c r="G66" i="11" s="1"/>
  <c r="S690" i="1"/>
  <c r="R693" i="1" s="1"/>
  <c r="R694" i="1" s="1"/>
  <c r="AE681" i="1" s="1"/>
  <c r="AD466" i="1"/>
  <c r="E51" i="5" s="1"/>
  <c r="Q473" i="1"/>
  <c r="G68" i="11" l="1"/>
  <c r="H81" i="12"/>
  <c r="E52" i="4"/>
  <c r="G52" i="4" s="1"/>
  <c r="F69" i="12"/>
  <c r="H69" i="12" s="1"/>
  <c r="E52" i="11"/>
  <c r="G52" i="11" s="1"/>
  <c r="G64" i="11"/>
  <c r="H85" i="12"/>
  <c r="E95" i="5"/>
  <c r="E94" i="5"/>
  <c r="Q476" i="1"/>
  <c r="AE475" i="1" s="1"/>
  <c r="AE470" i="1"/>
  <c r="E53" i="5" s="1"/>
  <c r="W459" i="1"/>
  <c r="Q458" i="1"/>
  <c r="S456" i="1"/>
  <c r="U459" i="1" s="1"/>
  <c r="S455" i="1"/>
  <c r="E96" i="4" l="1"/>
  <c r="G96" i="4" s="1"/>
  <c r="F113" i="12"/>
  <c r="H113" i="12" s="1"/>
  <c r="E96" i="11"/>
  <c r="G96" i="11" s="1"/>
  <c r="E54" i="4"/>
  <c r="G54" i="4" s="1"/>
  <c r="F71" i="12"/>
  <c r="H71" i="12" s="1"/>
  <c r="E54" i="11"/>
  <c r="G54" i="11" s="1"/>
  <c r="E95" i="4"/>
  <c r="G95" i="4" s="1"/>
  <c r="F112" i="12"/>
  <c r="H112" i="12" s="1"/>
  <c r="E95" i="11"/>
  <c r="G95" i="11" s="1"/>
  <c r="AE679" i="1"/>
  <c r="E93" i="5" s="1"/>
  <c r="E54" i="5"/>
  <c r="Q480" i="1"/>
  <c r="AE478" i="1" s="1"/>
  <c r="E55" i="5" s="1"/>
  <c r="S459" i="1"/>
  <c r="S460" i="1" s="1"/>
  <c r="R450" i="1"/>
  <c r="AF448" i="1" s="1"/>
  <c r="E47" i="5" s="1"/>
  <c r="R429" i="1"/>
  <c r="R430" i="1" s="1"/>
  <c r="R432" i="1" s="1"/>
  <c r="R424" i="1"/>
  <c r="T421" i="1"/>
  <c r="R421" i="1"/>
  <c r="T432" i="1"/>
  <c r="R414" i="1"/>
  <c r="AF412" i="1" s="1"/>
  <c r="E43" i="5" s="1"/>
  <c r="R394" i="1"/>
  <c r="R397" i="1" s="1"/>
  <c r="R386" i="1"/>
  <c r="R389" i="1" s="1"/>
  <c r="E48" i="4" l="1"/>
  <c r="G48" i="4" s="1"/>
  <c r="F65" i="12"/>
  <c r="H65" i="12" s="1"/>
  <c r="E48" i="11"/>
  <c r="G48" i="11" s="1"/>
  <c r="E56" i="4"/>
  <c r="G56" i="4" s="1"/>
  <c r="F73" i="12"/>
  <c r="H73" i="12" s="1"/>
  <c r="E56" i="11"/>
  <c r="G56" i="11" s="1"/>
  <c r="E94" i="4"/>
  <c r="G94" i="4" s="1"/>
  <c r="F111" i="12"/>
  <c r="H111" i="12" s="1"/>
  <c r="E94" i="11"/>
  <c r="G94" i="11" s="1"/>
  <c r="E44" i="4"/>
  <c r="G44" i="4" s="1"/>
  <c r="F61" i="12"/>
  <c r="H61" i="12" s="1"/>
  <c r="E44" i="11"/>
  <c r="G44" i="11" s="1"/>
  <c r="E55" i="4"/>
  <c r="G55" i="4" s="1"/>
  <c r="F72" i="12"/>
  <c r="H72" i="12" s="1"/>
  <c r="E55" i="11"/>
  <c r="G55" i="11" s="1"/>
  <c r="R422" i="1"/>
  <c r="T424" i="1" s="1"/>
  <c r="R425" i="1" s="1"/>
  <c r="S462" i="1"/>
  <c r="AE462" i="1" s="1"/>
  <c r="E52" i="5" s="1"/>
  <c r="AE454" i="1"/>
  <c r="E50" i="5" s="1"/>
  <c r="R433" i="1"/>
  <c r="V399" i="1"/>
  <c r="Y400" i="1" s="1"/>
  <c r="Y401" i="1" s="1"/>
  <c r="Y402" i="1" s="1"/>
  <c r="AH382" i="1" s="1"/>
  <c r="E41" i="5" s="1"/>
  <c r="E51" i="4" l="1"/>
  <c r="G51" i="4" s="1"/>
  <c r="F68" i="12"/>
  <c r="H68" i="12" s="1"/>
  <c r="E51" i="11"/>
  <c r="G51" i="11" s="1"/>
  <c r="E53" i="4"/>
  <c r="G53" i="4" s="1"/>
  <c r="F70" i="12"/>
  <c r="H70" i="12" s="1"/>
  <c r="E53" i="11"/>
  <c r="G53" i="11" s="1"/>
  <c r="E42" i="4"/>
  <c r="G42" i="4" s="1"/>
  <c r="F59" i="12"/>
  <c r="H59" i="12" s="1"/>
  <c r="E42" i="11"/>
  <c r="G42" i="11" s="1"/>
  <c r="V435" i="1"/>
  <c r="Y436" i="1" s="1"/>
  <c r="Y437" i="1" s="1"/>
  <c r="Y438" i="1" s="1"/>
  <c r="AH418" i="1" s="1"/>
  <c r="E45" i="5" s="1"/>
  <c r="X378" i="1"/>
  <c r="V378" i="1"/>
  <c r="X356" i="1"/>
  <c r="V356" i="1"/>
  <c r="X349" i="1"/>
  <c r="Z342" i="1"/>
  <c r="X342" i="1"/>
  <c r="V342" i="1"/>
  <c r="X297" i="1"/>
  <c r="V297" i="1"/>
  <c r="V313" i="1"/>
  <c r="X306" i="1"/>
  <c r="V306" i="1"/>
  <c r="V316" i="1" s="1"/>
  <c r="V317" i="1" s="1"/>
  <c r="X276" i="1"/>
  <c r="V276" i="1"/>
  <c r="X269" i="1"/>
  <c r="G57" i="4" l="1"/>
  <c r="G15" i="10" s="1"/>
  <c r="G57" i="11"/>
  <c r="H74" i="12"/>
  <c r="E46" i="4"/>
  <c r="G46" i="4" s="1"/>
  <c r="F63" i="12"/>
  <c r="H63" i="12" s="1"/>
  <c r="E46" i="11"/>
  <c r="G46" i="11" s="1"/>
  <c r="V314" i="1"/>
  <c r="V318" i="1" s="1"/>
  <c r="V319" i="1" s="1"/>
  <c r="AE332" i="1"/>
  <c r="E34" i="5" s="1"/>
  <c r="V357" i="1"/>
  <c r="V361" i="1" s="1"/>
  <c r="V343" i="1"/>
  <c r="AF340" i="1" s="1"/>
  <c r="V277" i="1"/>
  <c r="V281" i="1" s="1"/>
  <c r="V307" i="1"/>
  <c r="E35" i="4" l="1"/>
  <c r="G35" i="4" s="1"/>
  <c r="F52" i="12"/>
  <c r="H52" i="12" s="1"/>
  <c r="E35" i="11"/>
  <c r="G35" i="11" s="1"/>
  <c r="V320" i="1"/>
  <c r="V322" i="1" s="1"/>
  <c r="V328" i="1"/>
  <c r="V329" i="1" s="1"/>
  <c r="V330" i="1" s="1"/>
  <c r="V308" i="1"/>
  <c r="V310" i="1" s="1"/>
  <c r="V325" i="1"/>
  <c r="V326" i="1" s="1"/>
  <c r="V327" i="1" s="1"/>
  <c r="AH301" i="1" l="1"/>
  <c r="E33" i="5" s="1"/>
  <c r="E34" i="4" l="1"/>
  <c r="G34" i="4" s="1"/>
  <c r="F51" i="12"/>
  <c r="H51" i="12" s="1"/>
  <c r="E34" i="11"/>
  <c r="G34" i="11" s="1"/>
  <c r="Q251" i="1"/>
  <c r="S246" i="1"/>
  <c r="Q246" i="1"/>
  <c r="Q239" i="1"/>
  <c r="Q237" i="1"/>
  <c r="Q235" i="1"/>
  <c r="S231" i="1"/>
  <c r="Q231" i="1"/>
  <c r="S228" i="1"/>
  <c r="Q228" i="1"/>
  <c r="Q221" i="1"/>
  <c r="Q219" i="1"/>
  <c r="S215" i="1"/>
  <c r="Q215" i="1"/>
  <c r="U207" i="1"/>
  <c r="S207" i="1"/>
  <c r="Q207" i="1"/>
  <c r="S204" i="1"/>
  <c r="Q204" i="1"/>
  <c r="S201" i="1"/>
  <c r="Q201" i="1"/>
  <c r="U189" i="1"/>
  <c r="S189" i="1"/>
  <c r="Q189" i="1"/>
  <c r="S186" i="1"/>
  <c r="Q186" i="1"/>
  <c r="S176" i="1"/>
  <c r="Q176" i="1"/>
  <c r="S173" i="1"/>
  <c r="Q173" i="1"/>
  <c r="Q165" i="1"/>
  <c r="Q162" i="1"/>
  <c r="Q159" i="1"/>
  <c r="S153" i="1"/>
  <c r="Q153" i="1"/>
  <c r="S150" i="1"/>
  <c r="Q150" i="1"/>
  <c r="V120" i="1"/>
  <c r="V119" i="1"/>
  <c r="V118" i="1"/>
  <c r="V107" i="1"/>
  <c r="V106" i="1"/>
  <c r="V105" i="1"/>
  <c r="V92" i="1"/>
  <c r="U95" i="1" s="1"/>
  <c r="V91" i="1"/>
  <c r="S95" i="1" s="1"/>
  <c r="V68" i="1"/>
  <c r="T70" i="1" s="1"/>
  <c r="R70" i="1"/>
  <c r="V82" i="1"/>
  <c r="T85" i="1" s="1"/>
  <c r="AF81" i="1" s="1"/>
  <c r="E18" i="5" s="1"/>
  <c r="V74" i="1"/>
  <c r="T78" i="1" s="1"/>
  <c r="V75" i="1"/>
  <c r="V78" i="1" s="1"/>
  <c r="T39" i="1"/>
  <c r="T38" i="1"/>
  <c r="T37" i="1"/>
  <c r="R16" i="1"/>
  <c r="R15" i="1"/>
  <c r="R64" i="1"/>
  <c r="E19" i="4" l="1"/>
  <c r="G19" i="4" s="1"/>
  <c r="F36" i="12"/>
  <c r="H36" i="12" s="1"/>
  <c r="E19" i="11"/>
  <c r="G19" i="11" s="1"/>
  <c r="S112" i="1"/>
  <c r="Q229" i="1"/>
  <c r="Q247" i="1"/>
  <c r="Q254" i="1" s="1"/>
  <c r="AA244" i="1" s="1"/>
  <c r="Q232" i="1"/>
  <c r="Q190" i="1"/>
  <c r="Q208" i="1"/>
  <c r="Q216" i="1"/>
  <c r="Q224" i="1" s="1"/>
  <c r="AA213" i="1" s="1"/>
  <c r="Q202" i="1"/>
  <c r="Q174" i="1"/>
  <c r="Q205" i="1"/>
  <c r="Q177" i="1"/>
  <c r="Q187" i="1"/>
  <c r="Q154" i="1"/>
  <c r="Q151" i="1"/>
  <c r="S125" i="1"/>
  <c r="R71" i="1"/>
  <c r="X56" i="1"/>
  <c r="V56" i="1"/>
  <c r="T56" i="1"/>
  <c r="T54" i="1"/>
  <c r="R54" i="1"/>
  <c r="P54" i="1"/>
  <c r="Q55" i="1"/>
  <c r="X44" i="1"/>
  <c r="V44" i="1"/>
  <c r="T44" i="1"/>
  <c r="T42" i="1"/>
  <c r="Q43" i="1"/>
  <c r="R42" i="1"/>
  <c r="P42" i="1"/>
  <c r="Q12" i="1"/>
  <c r="O12" i="1"/>
  <c r="R17" i="1"/>
  <c r="P17" i="1"/>
  <c r="Q179" i="1" l="1"/>
  <c r="AA171" i="1" s="1"/>
  <c r="Q242" i="1"/>
  <c r="AA226" i="1" s="1"/>
  <c r="Q192" i="1"/>
  <c r="AA184" i="1" s="1"/>
  <c r="Q210" i="1"/>
  <c r="AA199" i="1" s="1"/>
  <c r="Q168" i="1"/>
  <c r="AA148" i="1" s="1"/>
  <c r="T57" i="1"/>
  <c r="T45" i="1"/>
  <c r="V42" i="1"/>
  <c r="T47" i="1" s="1"/>
  <c r="V54" i="1"/>
  <c r="T59" i="1" s="1"/>
  <c r="S12" i="1"/>
  <c r="AE12" i="1" s="1"/>
  <c r="E9" i="5" s="1"/>
  <c r="W17" i="1"/>
  <c r="AD15" i="1" s="1"/>
  <c r="E10" i="5" s="1"/>
  <c r="E10" i="4" l="1"/>
  <c r="E117" i="4" s="1"/>
  <c r="G117" i="4" s="1"/>
  <c r="G118" i="4" s="1"/>
  <c r="G22" i="10" s="1"/>
  <c r="F27" i="12"/>
  <c r="E10" i="11"/>
  <c r="E11" i="4"/>
  <c r="G11" i="4" s="1"/>
  <c r="F28" i="12"/>
  <c r="H28" i="12" s="1"/>
  <c r="E11" i="11"/>
  <c r="G11" i="11" s="1"/>
  <c r="V73" i="1"/>
  <c r="V90" i="1" s="1"/>
  <c r="V348" i="1" s="1"/>
  <c r="S369" i="1" s="1"/>
  <c r="T373" i="1" s="1"/>
  <c r="AE367" i="1" s="1"/>
  <c r="E38" i="5" s="1"/>
  <c r="V104" i="1"/>
  <c r="Q114" i="1" s="1"/>
  <c r="AE130" i="1"/>
  <c r="V59" i="1"/>
  <c r="T60" i="1" s="1"/>
  <c r="V117" i="1"/>
  <c r="Q127" i="1" s="1"/>
  <c r="V47" i="1"/>
  <c r="T48" i="1" s="1"/>
  <c r="G10" i="4" l="1"/>
  <c r="G14" i="4" s="1"/>
  <c r="G11" i="10" s="1"/>
  <c r="E117" i="11"/>
  <c r="G117" i="11" s="1"/>
  <c r="G10" i="11"/>
  <c r="F134" i="12"/>
  <c r="H134" i="12" s="1"/>
  <c r="H27" i="12"/>
  <c r="E39" i="4"/>
  <c r="G39" i="4" s="1"/>
  <c r="F56" i="12"/>
  <c r="H56" i="12" s="1"/>
  <c r="E39" i="11"/>
  <c r="G39" i="11" s="1"/>
  <c r="AF103" i="1"/>
  <c r="E22" i="5" s="1"/>
  <c r="Q257" i="1"/>
  <c r="Q258" i="1" s="1"/>
  <c r="AE256" i="1" s="1"/>
  <c r="E24" i="5" s="1"/>
  <c r="E23" i="5"/>
  <c r="X78" i="1"/>
  <c r="T79" i="1" s="1"/>
  <c r="AF73" i="1" s="1"/>
  <c r="E17" i="5" s="1"/>
  <c r="Z378" i="1"/>
  <c r="V379" i="1" s="1"/>
  <c r="AF376" i="1" s="1"/>
  <c r="V359" i="1"/>
  <c r="V360" i="1" s="1"/>
  <c r="V362" i="1" s="1"/>
  <c r="V363" i="1" s="1"/>
  <c r="V365" i="1" s="1"/>
  <c r="V349" i="1"/>
  <c r="V350" i="1" s="1"/>
  <c r="V351" i="1" s="1"/>
  <c r="V353" i="1" s="1"/>
  <c r="AF35" i="1"/>
  <c r="E24" i="4" l="1"/>
  <c r="G24" i="4" s="1"/>
  <c r="F41" i="12"/>
  <c r="H41" i="12" s="1"/>
  <c r="E24" i="11"/>
  <c r="G24" i="11" s="1"/>
  <c r="H135" i="12"/>
  <c r="E25" i="4"/>
  <c r="G25" i="4" s="1"/>
  <c r="F42" i="12"/>
  <c r="H42" i="12" s="1"/>
  <c r="E25" i="11"/>
  <c r="G25" i="11" s="1"/>
  <c r="G14" i="11"/>
  <c r="E23" i="4"/>
  <c r="G23" i="4" s="1"/>
  <c r="F40" i="12"/>
  <c r="H40" i="12" s="1"/>
  <c r="E23" i="11"/>
  <c r="G23" i="11" s="1"/>
  <c r="E18" i="4"/>
  <c r="G18" i="4" s="1"/>
  <c r="F35" i="12"/>
  <c r="H35" i="12" s="1"/>
  <c r="E18" i="11"/>
  <c r="G18" i="11" s="1"/>
  <c r="H31" i="12"/>
  <c r="G118" i="11"/>
  <c r="E39" i="5"/>
  <c r="E35" i="5"/>
  <c r="Q261" i="1"/>
  <c r="AE260" i="1" s="1"/>
  <c r="AE676" i="1" s="1"/>
  <c r="E92" i="5" s="1"/>
  <c r="E15" i="5"/>
  <c r="T64" i="1"/>
  <c r="R65" i="1" s="1"/>
  <c r="AF62" i="1" s="1"/>
  <c r="E16" i="5" s="1"/>
  <c r="AH346" i="1"/>
  <c r="E37" i="5" s="1"/>
  <c r="Q95" i="1"/>
  <c r="Q96" i="1" s="1"/>
  <c r="AF89" i="1" s="1"/>
  <c r="E21" i="5" s="1"/>
  <c r="V268" i="1"/>
  <c r="E36" i="4" l="1"/>
  <c r="G36" i="4" s="1"/>
  <c r="F53" i="12"/>
  <c r="H53" i="12" s="1"/>
  <c r="E36" i="11"/>
  <c r="G36" i="11" s="1"/>
  <c r="E38" i="4"/>
  <c r="G38" i="4" s="1"/>
  <c r="F55" i="12"/>
  <c r="H55" i="12" s="1"/>
  <c r="E38" i="11"/>
  <c r="G38" i="11" s="1"/>
  <c r="E17" i="4"/>
  <c r="G17" i="4" s="1"/>
  <c r="F34" i="12"/>
  <c r="H34" i="12" s="1"/>
  <c r="E17" i="11"/>
  <c r="G17" i="11" s="1"/>
  <c r="E40" i="4"/>
  <c r="G40" i="4" s="1"/>
  <c r="F57" i="12"/>
  <c r="H57" i="12" s="1"/>
  <c r="E40" i="11"/>
  <c r="G40" i="11" s="1"/>
  <c r="E16" i="4"/>
  <c r="G16" i="4" s="1"/>
  <c r="F33" i="12"/>
  <c r="H33" i="12" s="1"/>
  <c r="E16" i="11"/>
  <c r="G16" i="11" s="1"/>
  <c r="E22" i="4"/>
  <c r="G22" i="4" s="1"/>
  <c r="F39" i="12"/>
  <c r="H39" i="12" s="1"/>
  <c r="E22" i="11"/>
  <c r="G22" i="11" s="1"/>
  <c r="E93" i="4"/>
  <c r="G93" i="4" s="1"/>
  <c r="G97" i="4" s="1"/>
  <c r="G20" i="10" s="1"/>
  <c r="F110" i="12"/>
  <c r="H110" i="12" s="1"/>
  <c r="E93" i="11"/>
  <c r="G93" i="11" s="1"/>
  <c r="E25" i="5"/>
  <c r="V279" i="1"/>
  <c r="S288" i="1"/>
  <c r="T292" i="1" s="1"/>
  <c r="AE287" i="1" s="1"/>
  <c r="E30" i="5" s="1"/>
  <c r="V269" i="1"/>
  <c r="V270" i="1" s="1"/>
  <c r="V271" i="1" s="1"/>
  <c r="V273" i="1" s="1"/>
  <c r="Z297" i="1"/>
  <c r="V298" i="1" s="1"/>
  <c r="AF295" i="1" s="1"/>
  <c r="E31" i="5" s="1"/>
  <c r="G20" i="4" l="1"/>
  <c r="G12" i="10" s="1"/>
  <c r="H114" i="12"/>
  <c r="E31" i="4"/>
  <c r="G31" i="4" s="1"/>
  <c r="F48" i="12"/>
  <c r="H48" i="12" s="1"/>
  <c r="E31" i="11"/>
  <c r="G31" i="11" s="1"/>
  <c r="G20" i="11"/>
  <c r="H37" i="12"/>
  <c r="E32" i="4"/>
  <c r="G32" i="4" s="1"/>
  <c r="F49" i="12"/>
  <c r="H49" i="12" s="1"/>
  <c r="E32" i="11"/>
  <c r="G32" i="11" s="1"/>
  <c r="E26" i="4"/>
  <c r="G26" i="4" s="1"/>
  <c r="G27" i="4" s="1"/>
  <c r="G13" i="10" s="1"/>
  <c r="F43" i="12"/>
  <c r="H43" i="12" s="1"/>
  <c r="E26" i="11"/>
  <c r="G26" i="11" s="1"/>
  <c r="G97" i="11"/>
  <c r="V280" i="1"/>
  <c r="V282" i="1" s="1"/>
  <c r="V283" i="1" s="1"/>
  <c r="V285" i="1" s="1"/>
  <c r="AH266" i="1" s="1"/>
  <c r="E29" i="5" s="1"/>
  <c r="G27" i="11" l="1"/>
  <c r="H44" i="12"/>
  <c r="E30" i="4"/>
  <c r="G30" i="4" s="1"/>
  <c r="G49" i="4" s="1"/>
  <c r="G14" i="10" s="1"/>
  <c r="G23" i="10" s="1"/>
  <c r="F47" i="12"/>
  <c r="H47" i="12" s="1"/>
  <c r="E30" i="11"/>
  <c r="G30" i="11" s="1"/>
  <c r="G49" i="11" l="1"/>
  <c r="G119" i="11" s="1"/>
  <c r="H30" i="11" s="1"/>
  <c r="H66" i="12"/>
  <c r="H136" i="12" s="1"/>
  <c r="I96" i="12" l="1"/>
  <c r="I99" i="12"/>
  <c r="M99" i="12" s="1"/>
  <c r="I103" i="12"/>
  <c r="S103" i="12" s="1"/>
  <c r="I107" i="12"/>
  <c r="S107" i="12" s="1"/>
  <c r="I80" i="12"/>
  <c r="M80" i="12" s="1"/>
  <c r="I118" i="12"/>
  <c r="I60" i="12"/>
  <c r="O60" i="12" s="1"/>
  <c r="I90" i="12"/>
  <c r="R90" i="12" s="1"/>
  <c r="I120" i="12"/>
  <c r="L120" i="12" s="1"/>
  <c r="I98" i="12"/>
  <c r="T98" i="12" s="1"/>
  <c r="I127" i="12"/>
  <c r="M127" i="12" s="1"/>
  <c r="I124" i="12"/>
  <c r="M124" i="12" s="1"/>
  <c r="I101" i="12"/>
  <c r="M101" i="12" s="1"/>
  <c r="I129" i="12"/>
  <c r="N129" i="12" s="1"/>
  <c r="I102" i="12"/>
  <c r="M102" i="12" s="1"/>
  <c r="I88" i="12"/>
  <c r="R88" i="12" s="1"/>
  <c r="I122" i="12"/>
  <c r="L122" i="12" s="1"/>
  <c r="I64" i="12"/>
  <c r="O64" i="12" s="1"/>
  <c r="I121" i="12"/>
  <c r="L121" i="12" s="1"/>
  <c r="I89" i="12"/>
  <c r="R89" i="12" s="1"/>
  <c r="I97" i="12"/>
  <c r="T97" i="12" s="1"/>
  <c r="I100" i="12"/>
  <c r="M100" i="12" s="1"/>
  <c r="I87" i="12"/>
  <c r="I104" i="12"/>
  <c r="S104" i="12" s="1"/>
  <c r="I128" i="12"/>
  <c r="N128" i="12" s="1"/>
  <c r="I126" i="12"/>
  <c r="M126" i="12" s="1"/>
  <c r="I119" i="12"/>
  <c r="I130" i="12"/>
  <c r="N130" i="12" s="1"/>
  <c r="I106" i="12"/>
  <c r="S106" i="12" s="1"/>
  <c r="I125" i="12"/>
  <c r="M125" i="12" s="1"/>
  <c r="I105" i="12"/>
  <c r="S105" i="12" s="1"/>
  <c r="I123" i="12"/>
  <c r="N123" i="12" s="1"/>
  <c r="I30" i="12"/>
  <c r="I29" i="12"/>
  <c r="I131" i="12"/>
  <c r="I117" i="12"/>
  <c r="I116" i="12"/>
  <c r="I91" i="12"/>
  <c r="R91" i="12" s="1"/>
  <c r="I93" i="12"/>
  <c r="R93" i="12" s="1"/>
  <c r="I92" i="12"/>
  <c r="R92" i="12" s="1"/>
  <c r="I84" i="12"/>
  <c r="R84" i="12" s="1"/>
  <c r="I79" i="12"/>
  <c r="R79" i="12" s="1"/>
  <c r="I77" i="12"/>
  <c r="R77" i="12" s="1"/>
  <c r="I78" i="12"/>
  <c r="R78" i="12" s="1"/>
  <c r="I83" i="12"/>
  <c r="I76" i="12"/>
  <c r="I69" i="12"/>
  <c r="P69" i="12" s="1"/>
  <c r="I113" i="12"/>
  <c r="I112" i="12"/>
  <c r="S112" i="12" s="1"/>
  <c r="I71" i="12"/>
  <c r="I73" i="12"/>
  <c r="R73" i="12" s="1"/>
  <c r="I61" i="12"/>
  <c r="O61" i="12" s="1"/>
  <c r="I111" i="12"/>
  <c r="S111" i="12" s="1"/>
  <c r="I72" i="12"/>
  <c r="R72" i="12" s="1"/>
  <c r="I65" i="12"/>
  <c r="O65" i="12" s="1"/>
  <c r="I70" i="12"/>
  <c r="I68" i="12"/>
  <c r="I59" i="12"/>
  <c r="O59" i="12" s="1"/>
  <c r="I63" i="12"/>
  <c r="O63" i="12" s="1"/>
  <c r="I52" i="12"/>
  <c r="I51" i="12"/>
  <c r="I36" i="12"/>
  <c r="L36" i="12" s="1"/>
  <c r="I28" i="12"/>
  <c r="J28" i="12" s="1"/>
  <c r="I134" i="12"/>
  <c r="I56" i="12"/>
  <c r="O56" i="12" s="1"/>
  <c r="I41" i="12"/>
  <c r="I42" i="12"/>
  <c r="I35" i="12"/>
  <c r="L35" i="12" s="1"/>
  <c r="I40" i="12"/>
  <c r="I34" i="12"/>
  <c r="L34" i="12" s="1"/>
  <c r="I57" i="12"/>
  <c r="O57" i="12" s="1"/>
  <c r="I33" i="12"/>
  <c r="I39" i="12"/>
  <c r="I110" i="12"/>
  <c r="I55" i="12"/>
  <c r="O55" i="12" s="1"/>
  <c r="I53" i="12"/>
  <c r="I49" i="12"/>
  <c r="I48" i="12"/>
  <c r="L48" i="12" s="1"/>
  <c r="I43" i="12"/>
  <c r="I47" i="12"/>
  <c r="H83" i="11"/>
  <c r="H102" i="11"/>
  <c r="H89" i="11"/>
  <c r="H111" i="11"/>
  <c r="H70" i="11"/>
  <c r="H109" i="11"/>
  <c r="H104" i="11"/>
  <c r="H79" i="11"/>
  <c r="H82" i="11"/>
  <c r="H112" i="11"/>
  <c r="H86" i="11"/>
  <c r="H84" i="11"/>
  <c r="H103" i="11"/>
  <c r="H88" i="11"/>
  <c r="H73" i="11"/>
  <c r="H43" i="11"/>
  <c r="H105" i="11"/>
  <c r="H63" i="11"/>
  <c r="H110" i="11"/>
  <c r="H81" i="11"/>
  <c r="H113" i="11"/>
  <c r="H90" i="11"/>
  <c r="H72" i="11"/>
  <c r="H108" i="11"/>
  <c r="H47" i="11"/>
  <c r="H85" i="11"/>
  <c r="H107" i="11"/>
  <c r="H106" i="11"/>
  <c r="H80" i="11"/>
  <c r="H71" i="11"/>
  <c r="H101" i="11"/>
  <c r="H87" i="11"/>
  <c r="H12" i="11"/>
  <c r="H13" i="11"/>
  <c r="H114" i="11"/>
  <c r="H100" i="11"/>
  <c r="H99" i="11"/>
  <c r="H74" i="11"/>
  <c r="H76" i="11"/>
  <c r="H75" i="11"/>
  <c r="H60" i="11"/>
  <c r="H62" i="11"/>
  <c r="H67" i="11"/>
  <c r="H61" i="11"/>
  <c r="H59" i="11"/>
  <c r="H66" i="11"/>
  <c r="H52" i="11"/>
  <c r="H95" i="11"/>
  <c r="H96" i="11"/>
  <c r="H54" i="11"/>
  <c r="H56" i="11"/>
  <c r="H55" i="11"/>
  <c r="H48" i="11"/>
  <c r="H44" i="11"/>
  <c r="H94" i="11"/>
  <c r="H42" i="11"/>
  <c r="H53" i="11"/>
  <c r="H51" i="11"/>
  <c r="H46" i="11"/>
  <c r="H35" i="11"/>
  <c r="H34" i="11"/>
  <c r="H19" i="11"/>
  <c r="H11" i="11"/>
  <c r="H117" i="11"/>
  <c r="H118" i="11" s="1"/>
  <c r="H39" i="11"/>
  <c r="H10" i="11"/>
  <c r="H23" i="11"/>
  <c r="H18" i="11"/>
  <c r="H25" i="11"/>
  <c r="H24" i="11"/>
  <c r="H17" i="11"/>
  <c r="H22" i="11"/>
  <c r="H93" i="11"/>
  <c r="H38" i="11"/>
  <c r="H36" i="11"/>
  <c r="H40" i="11"/>
  <c r="H16" i="11"/>
  <c r="H26" i="11"/>
  <c r="H31" i="11"/>
  <c r="H32" i="11"/>
  <c r="H97" i="11" l="1"/>
  <c r="H14" i="11"/>
  <c r="H68" i="11"/>
  <c r="H49" i="11"/>
  <c r="H57" i="11"/>
  <c r="O43" i="12"/>
  <c r="P43" i="12"/>
  <c r="T134" i="12"/>
  <c r="I135" i="12"/>
  <c r="Q70" i="12"/>
  <c r="P70" i="12"/>
  <c r="T113" i="12"/>
  <c r="S113" i="12"/>
  <c r="L117" i="12"/>
  <c r="K117" i="12"/>
  <c r="H115" i="11"/>
  <c r="H77" i="11"/>
  <c r="R87" i="12"/>
  <c r="I94" i="12"/>
  <c r="H27" i="11"/>
  <c r="H91" i="11"/>
  <c r="L49" i="12"/>
  <c r="K49" i="12"/>
  <c r="K39" i="12"/>
  <c r="J39" i="12"/>
  <c r="I44" i="12"/>
  <c r="M40" i="12"/>
  <c r="L40" i="12"/>
  <c r="I31" i="12"/>
  <c r="J27" i="12"/>
  <c r="Q71" i="12"/>
  <c r="R71" i="12"/>
  <c r="P71" i="12"/>
  <c r="M76" i="12"/>
  <c r="K76" i="12"/>
  <c r="L76" i="12"/>
  <c r="I81" i="12"/>
  <c r="N29" i="12"/>
  <c r="J29" i="12"/>
  <c r="R29" i="12"/>
  <c r="K118" i="12"/>
  <c r="L118" i="12"/>
  <c r="O42" i="12"/>
  <c r="N42" i="12"/>
  <c r="M42" i="12"/>
  <c r="L52" i="12"/>
  <c r="K52" i="12"/>
  <c r="M52" i="12"/>
  <c r="H20" i="11"/>
  <c r="H64" i="11"/>
  <c r="T110" i="12"/>
  <c r="I114" i="12"/>
  <c r="S110" i="12"/>
  <c r="N41" i="12"/>
  <c r="M41" i="12"/>
  <c r="L41" i="12"/>
  <c r="L131" i="12"/>
  <c r="M131" i="12"/>
  <c r="L119" i="12"/>
  <c r="K119" i="12"/>
  <c r="K47" i="12"/>
  <c r="I66" i="12"/>
  <c r="M53" i="12"/>
  <c r="L53" i="12"/>
  <c r="K53" i="12"/>
  <c r="J33" i="12"/>
  <c r="I37" i="12"/>
  <c r="K33" i="12"/>
  <c r="L51" i="12"/>
  <c r="M51" i="12"/>
  <c r="K51" i="12"/>
  <c r="O68" i="12"/>
  <c r="Q68" i="12"/>
  <c r="I74" i="12"/>
  <c r="P68" i="12"/>
  <c r="I85" i="12"/>
  <c r="R83" i="12"/>
  <c r="S83" i="12"/>
  <c r="K116" i="12"/>
  <c r="I132" i="12"/>
  <c r="L116" i="12"/>
  <c r="T30" i="12"/>
  <c r="R30" i="12"/>
  <c r="N30" i="12"/>
  <c r="J30" i="12"/>
  <c r="T96" i="12"/>
  <c r="I108" i="12"/>
  <c r="H119" i="11" l="1"/>
  <c r="L136" i="12"/>
  <c r="O136" i="12"/>
  <c r="S136" i="12"/>
  <c r="T136" i="12"/>
  <c r="N136" i="12"/>
  <c r="I136" i="12"/>
  <c r="M136" i="12"/>
  <c r="J136" i="12"/>
  <c r="P136" i="12"/>
  <c r="Q136" i="12"/>
  <c r="K136" i="12"/>
  <c r="R136" i="12"/>
  <c r="J138" i="12" l="1"/>
  <c r="J137" i="12"/>
  <c r="K137" i="12" s="1"/>
  <c r="L137" i="12" s="1"/>
  <c r="M137" i="12" s="1"/>
  <c r="N137" i="12" s="1"/>
  <c r="O137" i="12" s="1"/>
  <c r="P137" i="12" s="1"/>
  <c r="Q137" i="12" s="1"/>
  <c r="R137" i="12" s="1"/>
  <c r="S137" i="12" s="1"/>
  <c r="T13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E136" authorId="0" shapeId="0" xr:uid="{82F870E1-136A-4A4D-AD57-464EC86DE53A}">
      <text>
        <r>
          <rPr>
            <b/>
            <sz val="9"/>
            <color indexed="81"/>
            <rFont val="Tahoma"/>
            <family val="2"/>
          </rPr>
          <t>Dinding Tengah</t>
        </r>
      </text>
    </comment>
    <comment ref="L136" authorId="0" shapeId="0" xr:uid="{67840047-653C-471E-B100-36DAD87A9162}">
      <text>
        <r>
          <rPr>
            <b/>
            <sz val="9"/>
            <color indexed="81"/>
            <rFont val="Tahoma"/>
            <family val="2"/>
          </rPr>
          <t>Dinding KM</t>
        </r>
      </text>
    </comment>
    <comment ref="E137" authorId="0" shapeId="0" xr:uid="{E652931F-3D56-423F-905F-B4E2C0FFDD95}">
      <text>
        <r>
          <rPr>
            <b/>
            <sz val="9"/>
            <color indexed="81"/>
            <rFont val="Tahoma"/>
            <family val="2"/>
          </rPr>
          <t>Dinding Luar</t>
        </r>
      </text>
    </comment>
    <comment ref="M137" authorId="0" shapeId="0" xr:uid="{666B5DBC-934D-4B27-8D84-805402A84E31}">
      <text>
        <r>
          <rPr>
            <b/>
            <sz val="9"/>
            <color indexed="81"/>
            <rFont val="Tahoma"/>
            <family val="2"/>
          </rPr>
          <t>Dinding Luar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<sst xmlns="http://schemas.openxmlformats.org/spreadsheetml/2006/main" count="21589" uniqueCount="1951">
  <si>
    <t>PERHITUNGAN VOLUME PEKERJAAN</t>
  </si>
  <si>
    <t>NO</t>
  </si>
  <si>
    <t>URAIAN PEKERJAAN</t>
  </si>
  <si>
    <t>GAMBAR/SKETSA</t>
  </si>
  <si>
    <t>URAIAN PERHITUNGAN VOLUME PEKERJAAN</t>
  </si>
  <si>
    <t>HASIL PERHITUNGAN</t>
  </si>
  <si>
    <t>BUAH</t>
  </si>
  <si>
    <t>LS</t>
  </si>
  <si>
    <t>KETERANGAN</t>
  </si>
  <si>
    <t>I</t>
  </si>
  <si>
    <t>PEKERJAAN PERSIAPAN</t>
  </si>
  <si>
    <t>Permbersihan Lahan</t>
  </si>
  <si>
    <t>Pemasangan Bouwplank</t>
  </si>
  <si>
    <t>Penyediaan Air Kerja</t>
  </si>
  <si>
    <t>Administrasi dan Dokumentasi</t>
  </si>
  <si>
    <t>Luas Lahan</t>
  </si>
  <si>
    <t>X</t>
  </si>
  <si>
    <t xml:space="preserve"> =</t>
  </si>
  <si>
    <t>Panjang Bouwplank</t>
  </si>
  <si>
    <t xml:space="preserve"> +</t>
  </si>
  <si>
    <t>sisi</t>
  </si>
  <si>
    <t>Panjang</t>
  </si>
  <si>
    <t>Lebar</t>
  </si>
  <si>
    <t>II</t>
  </si>
  <si>
    <t>PEKERJAAN GALIAN TANAH DAN URUGAN</t>
  </si>
  <si>
    <t>Galian Tanah Pondasi</t>
  </si>
  <si>
    <t>Panjang pondasi tipe 1 =</t>
  </si>
  <si>
    <t>Volume Pondasi Tipe 1 =</t>
  </si>
  <si>
    <t>Luas Penampang X Panjang pondasi</t>
  </si>
  <si>
    <t xml:space="preserve"> = </t>
  </si>
  <si>
    <t>Panjang pondasi tipe 2 =</t>
  </si>
  <si>
    <t>Volume Pondasi Tipe 2 =</t>
  </si>
  <si>
    <t>Luas Penampang</t>
  </si>
  <si>
    <t>Urugan Tanah Kembali</t>
  </si>
  <si>
    <t>1/4 X Galian Tanah</t>
  </si>
  <si>
    <t>Urugan Pasir Dibawah Pondasi</t>
  </si>
  <si>
    <t>Kedalaman Galian</t>
  </si>
  <si>
    <t>Lebar Galian Bawah</t>
  </si>
  <si>
    <t>Lebar Galian Atas</t>
  </si>
  <si>
    <t>Panjang Total Pondasi</t>
  </si>
  <si>
    <t xml:space="preserve">Lebar </t>
  </si>
  <si>
    <t>Lebar X Tinggi X Panjang</t>
  </si>
  <si>
    <t>Urugan tanah samping pondasi</t>
  </si>
  <si>
    <t>Urugan dibawah lantai</t>
  </si>
  <si>
    <t>Urugan Pasir di bawah lantai</t>
  </si>
  <si>
    <t>Urugan Pasir di pondasi =</t>
  </si>
  <si>
    <t>Luas Bangunan</t>
  </si>
  <si>
    <t>Tebal Urugan Pasir</t>
  </si>
  <si>
    <t>Volume Urugan Pasir = Luas Bangunan X Tebal Urugan</t>
  </si>
  <si>
    <t xml:space="preserve">Tebal Urugan </t>
  </si>
  <si>
    <t>Urugan Tanah  =</t>
  </si>
  <si>
    <t>Luas Bangunan X Tebal Urugan</t>
  </si>
  <si>
    <t>III</t>
  </si>
  <si>
    <t>PEKERJAAN PASANGAN DAN PLESTERAN</t>
  </si>
  <si>
    <t>Pasangan Batu Kosong / Aanstamping</t>
  </si>
  <si>
    <t>Lebar Aanstamping</t>
  </si>
  <si>
    <t>Tebal Aanstamping</t>
  </si>
  <si>
    <t>Volume Pasangan Batu Kosong / Aanstamping</t>
  </si>
  <si>
    <t xml:space="preserve"> = Panjang Pondasi X Lebar Aanstamping X Tebal Aanstamping</t>
  </si>
  <si>
    <t>a) Tipe I</t>
  </si>
  <si>
    <t>Pondasi tipe I</t>
  </si>
  <si>
    <t>Pondasi tipe II</t>
  </si>
  <si>
    <t>Pasangan Pondasi Batu Gunung</t>
  </si>
  <si>
    <t>b) Tipe II</t>
  </si>
  <si>
    <t>Galian Tanah Pondasi Tipe I</t>
  </si>
  <si>
    <t>Galian Tanah Pondasi Tipe II</t>
  </si>
  <si>
    <t>Panjang Pondasi Tipe I</t>
  </si>
  <si>
    <t>Lebar bawah</t>
  </si>
  <si>
    <t>Lebar atas</t>
  </si>
  <si>
    <t>Tinggi</t>
  </si>
  <si>
    <t>Volume = Luas Penampang X Panjang Total</t>
  </si>
  <si>
    <t xml:space="preserve"> </t>
  </si>
  <si>
    <t>Volume =</t>
  </si>
  <si>
    <t>Panjang Pondasi Tipe II</t>
  </si>
  <si>
    <t>Luas Penampang X Panjang Total</t>
  </si>
  <si>
    <t>M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</si>
  <si>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</si>
  <si>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</si>
  <si>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Pasangan Batu Bata</t>
  </si>
  <si>
    <t>1.</t>
  </si>
  <si>
    <t>Dinding depan</t>
  </si>
  <si>
    <t>Luas 1  = Panjang X Tinggi</t>
  </si>
  <si>
    <t>m2</t>
  </si>
  <si>
    <t>Luas 2  = Panjang X Tinggi</t>
  </si>
  <si>
    <t>Dikurangi luas lubang pintu &amp; jendela</t>
  </si>
  <si>
    <t>Luas 1 = Panjang X Tinggi</t>
  </si>
  <si>
    <t>Luas 2 = Panjang X Tinggi</t>
  </si>
  <si>
    <t>Luas 3 = Panjang X Tinggi</t>
  </si>
  <si>
    <t xml:space="preserve">2. </t>
  </si>
  <si>
    <t>Dinding Belakang</t>
  </si>
  <si>
    <t>Luas total dinding depan = Luas dinding - Luas lubang</t>
  </si>
  <si>
    <t xml:space="preserve">3. </t>
  </si>
  <si>
    <t>Dinding Kiri</t>
  </si>
  <si>
    <t>Luas 2  = 1/2 X Alas X Tinggi</t>
  </si>
  <si>
    <t>4.</t>
  </si>
  <si>
    <t>Dinding Kanan</t>
  </si>
  <si>
    <t>Luas 3  = 1/2 Alas X Tinggi</t>
  </si>
  <si>
    <t>Luas total dinding kiri</t>
  </si>
  <si>
    <t>Luas total dinding kanan</t>
  </si>
  <si>
    <t>5.</t>
  </si>
  <si>
    <t>Luas dinding Tengah Vertikal</t>
  </si>
  <si>
    <t>Dikurangi lubang Jendela dan tengah</t>
  </si>
  <si>
    <t xml:space="preserve">Luas 2 = </t>
  </si>
  <si>
    <t xml:space="preserve">Luas 3 = </t>
  </si>
  <si>
    <t>Jadi luas total dinding tengah vertikal</t>
  </si>
  <si>
    <t>Luas 1 - Luas 2 - Luas 3</t>
  </si>
  <si>
    <t xml:space="preserve">6. </t>
  </si>
  <si>
    <t>Luas Dinding Tengah Horisontal</t>
  </si>
  <si>
    <t>Dikurangi lubang Jendela dan pintu</t>
  </si>
  <si>
    <t xml:space="preserve">Luas 4 = </t>
  </si>
  <si>
    <t xml:space="preserve">Luas 5 = </t>
  </si>
  <si>
    <t>Luas 1 + Luas 2 - Luas 3 - Luas 4 - Luas 5</t>
  </si>
  <si>
    <t>7.</t>
  </si>
  <si>
    <t>Dinding Kamar Mandi</t>
  </si>
  <si>
    <t>Dikurangi luas pintu</t>
  </si>
  <si>
    <t>Jadi luas total dinding Kamar Mandi</t>
  </si>
  <si>
    <t>Luas 1 - Luas 2</t>
  </si>
  <si>
    <t>Plesteran</t>
  </si>
  <si>
    <t>Luas dari plesteran sama dengan luas pasangan batu bata dikalikan 2 (luar dalam)</t>
  </si>
  <si>
    <t>Acian</t>
  </si>
  <si>
    <t>Luas Acian sama dengan luas plesteran</t>
  </si>
  <si>
    <t>IV</t>
  </si>
  <si>
    <t>PEKERJAAN BETON</t>
  </si>
  <si>
    <t>Sloof 20 x 25</t>
  </si>
  <si>
    <t>A.</t>
  </si>
  <si>
    <t>Pembesian</t>
  </si>
  <si>
    <t>Panjang Sloof</t>
  </si>
  <si>
    <t>m</t>
  </si>
  <si>
    <t>Panjang totol besi utama</t>
  </si>
  <si>
    <t>Besi Utama dia. 8 mm</t>
  </si>
  <si>
    <t>bh</t>
  </si>
  <si>
    <t>Jika 1 batang 12 m, maka</t>
  </si>
  <si>
    <t>batang</t>
  </si>
  <si>
    <t>kg</t>
  </si>
  <si>
    <t xml:space="preserve">Maka berat total </t>
  </si>
  <si>
    <t xml:space="preserve"> - </t>
  </si>
  <si>
    <t xml:space="preserve">Besi Sengkang (Begel) dia. 6 mm </t>
  </si>
  <si>
    <t>1 sengkang memerlukan</t>
  </si>
  <si>
    <t xml:space="preserve"> / </t>
  </si>
  <si>
    <t>Jadi total sengkang adalah = Panjang sloof / jarak sengkang</t>
  </si>
  <si>
    <t>Jika 1 batang besi dia. 6 beratnya =</t>
  </si>
  <si>
    <t>Jika 1 batang besi dia. 8 beratnya =</t>
  </si>
  <si>
    <t>Jika 1 buah memerlukan panjang=</t>
  </si>
  <si>
    <t>Maka total panjang</t>
  </si>
  <si>
    <t>2.</t>
  </si>
  <si>
    <t>Untuk rumah 1 lantai, semua menggunakan kolom praktis</t>
  </si>
  <si>
    <t xml:space="preserve"> -</t>
  </si>
  <si>
    <t>Perhitungan 1 kolom praktis 15X15</t>
  </si>
  <si>
    <t>Kolom Praktis 15 X 15</t>
  </si>
  <si>
    <t>Tinggi Kolom</t>
  </si>
  <si>
    <t>Jadi total sengkang adalah = Tinggi Kolom / jarak sengkang</t>
  </si>
  <si>
    <t>Jika jumlah kolom praktis semua adalah =</t>
  </si>
  <si>
    <t>buah</t>
  </si>
  <si>
    <t>Maka total besi utama dia. 8 =</t>
  </si>
  <si>
    <t>Maka total besi sengkang dia. 6 =</t>
  </si>
  <si>
    <t>B.</t>
  </si>
  <si>
    <t>Volume Beton</t>
  </si>
  <si>
    <t>Volume Beton = Lebar X Tinggi X Panjang total</t>
  </si>
  <si>
    <t>m3</t>
  </si>
  <si>
    <t>Kg</t>
  </si>
  <si>
    <t>a</t>
  </si>
  <si>
    <t>b</t>
  </si>
  <si>
    <t>Volume Beton = Panjang X Lebar X (Tinggi Kolom X Jumlah Kolom)</t>
  </si>
  <si>
    <t>C.</t>
  </si>
  <si>
    <t>Ringbalk 15 X 15</t>
  </si>
  <si>
    <t>Panjang Ringbalk</t>
  </si>
  <si>
    <t>Jadi total sengkang adalah = Panjang ringbalk / jarak sengkang</t>
  </si>
  <si>
    <t>LAINNYA</t>
  </si>
  <si>
    <t>D.</t>
  </si>
  <si>
    <t>Cor Teras Depan</t>
  </si>
  <si>
    <t xml:space="preserve">Jumlah besi arah samping </t>
  </si>
  <si>
    <t xml:space="preserve"> = panjang / jarak X 2</t>
  </si>
  <si>
    <t xml:space="preserve"> = 2 / 0,2 X 2</t>
  </si>
  <si>
    <t>Total panjang besi arah samping</t>
  </si>
  <si>
    <t xml:space="preserve"> = 20 buah x 1,5 m</t>
  </si>
  <si>
    <t>meter</t>
  </si>
  <si>
    <t xml:space="preserve">Jumlah besi arah depan </t>
  </si>
  <si>
    <t xml:space="preserve"> = 1,5 / 0,2 X 2</t>
  </si>
  <si>
    <t>Total panjang besi arah depan</t>
  </si>
  <si>
    <t xml:space="preserve"> = 15 buah x 2 m</t>
  </si>
  <si>
    <t xml:space="preserve">Total kebutuhan panjang besi = </t>
  </si>
  <si>
    <t xml:space="preserve">Jumlah batang besi yang diperlukan 60 m/12 m = </t>
  </si>
  <si>
    <t>Jika 1 batang besi dia. 10 beratnya 7,4 kg maka</t>
  </si>
  <si>
    <t>Volume beton = p x l x t</t>
  </si>
  <si>
    <t>E.</t>
  </si>
  <si>
    <t>Cor Teras Belakang</t>
  </si>
  <si>
    <t xml:space="preserve"> /</t>
  </si>
  <si>
    <t>V</t>
  </si>
  <si>
    <t>PEKERJAAN ATAP DAN PLAFON</t>
  </si>
  <si>
    <t>Volume Atap</t>
  </si>
  <si>
    <t>Kemiringan</t>
  </si>
  <si>
    <t>Cos</t>
  </si>
  <si>
    <t>o</t>
  </si>
  <si>
    <t xml:space="preserve">Total Volume = </t>
  </si>
  <si>
    <t>x</t>
  </si>
  <si>
    <t>Atap Roof</t>
  </si>
  <si>
    <t>Nok Atap</t>
  </si>
  <si>
    <t>Lisplank</t>
  </si>
  <si>
    <t>Talang Air</t>
  </si>
  <si>
    <t>Panjang X Lebar</t>
  </si>
  <si>
    <t xml:space="preserve"> x</t>
  </si>
  <si>
    <t>Plafon Gipsum Bord 9 mm</t>
  </si>
  <si>
    <t>List Plafon</t>
  </si>
  <si>
    <t>(Panjang + Lebar ) x 2</t>
  </si>
  <si>
    <t>VI</t>
  </si>
  <si>
    <t>PEKERJAAN KUSEN PINTU DAN JEDELA</t>
  </si>
  <si>
    <t>Kayu Kusen Kelas 1 (5/12)</t>
  </si>
  <si>
    <t>Tipe Kusen P1</t>
  </si>
  <si>
    <t>Jumlah</t>
  </si>
  <si>
    <t>Tebal</t>
  </si>
  <si>
    <t>Volume</t>
  </si>
  <si>
    <t xml:space="preserve"> = Panjang x Lebar x Tebal x Jumlah</t>
  </si>
  <si>
    <t>Tipe Kusen P2</t>
  </si>
  <si>
    <t>Tipe Kusen J1</t>
  </si>
  <si>
    <t>d</t>
  </si>
  <si>
    <t>c</t>
  </si>
  <si>
    <t>Tipe Kusen J2</t>
  </si>
  <si>
    <t>e</t>
  </si>
  <si>
    <t>Jalusi P1</t>
  </si>
  <si>
    <t>f</t>
  </si>
  <si>
    <t>Jalusi J1</t>
  </si>
  <si>
    <t>Daun Pintu Panil Kayu</t>
  </si>
  <si>
    <t>Luas</t>
  </si>
  <si>
    <t xml:space="preserve"> = Lebar x Tinggi x Jumlah</t>
  </si>
  <si>
    <t xml:space="preserve">Daun Pintu Double Taewood </t>
  </si>
  <si>
    <t>Daun Jendela Kaca</t>
  </si>
  <si>
    <t>Tipe 1</t>
  </si>
  <si>
    <t>Tipe 2</t>
  </si>
  <si>
    <t>VII</t>
  </si>
  <si>
    <t>PEKERJAAN LANTAI DAN KERAMIK</t>
  </si>
  <si>
    <t>Pasang Keramik 40x40</t>
  </si>
  <si>
    <t xml:space="preserve">Luas = (Luas Keseluruhan) + (Luas Teras Depan) - Luas KM - taman belakang </t>
  </si>
  <si>
    <t>Luas Keseluruhan =</t>
  </si>
  <si>
    <t xml:space="preserve">Luas Teras Depan = </t>
  </si>
  <si>
    <t xml:space="preserve">Luas KM = </t>
  </si>
  <si>
    <t>Luas Taman Belakang =</t>
  </si>
  <si>
    <t>Luas Total =</t>
  </si>
  <si>
    <t>Pasang Keramik 25x25</t>
  </si>
  <si>
    <t xml:space="preserve">Luas Kamar Mandi (KM) = </t>
  </si>
  <si>
    <t>PEKERJAAN PENGGANTUNG DAN PENGUNCI</t>
  </si>
  <si>
    <t>Pasangan Kunci Double Slag</t>
  </si>
  <si>
    <t>Pasangan Kunci KM/WC</t>
  </si>
  <si>
    <t>pasangan Engsel Pintu</t>
  </si>
  <si>
    <t>Pasangan Engsel Jendela</t>
  </si>
  <si>
    <t>Pasangan Kait Angin</t>
  </si>
  <si>
    <t>Pasangan Mur &amp; Baut</t>
  </si>
  <si>
    <t>IX</t>
  </si>
  <si>
    <t>PEKERJAAN INSTALASI LISTRIK DAN AIR</t>
  </si>
  <si>
    <t>Saklar Ganda</t>
  </si>
  <si>
    <t>Saklar Tunggal</t>
  </si>
  <si>
    <t>Stop Kontak</t>
  </si>
  <si>
    <t>MCB-BOX</t>
  </si>
  <si>
    <t>Pasangan Kloset Duduk</t>
  </si>
  <si>
    <t>Pasangan Bak Air Viber</t>
  </si>
  <si>
    <t>Kran Air</t>
  </si>
  <si>
    <t>Pasangan Floor Drain</t>
  </si>
  <si>
    <t>Bak Cuci Piring</t>
  </si>
  <si>
    <t>Pasangan Pipa Air</t>
  </si>
  <si>
    <t>Pas. SepticTank &amp; Peresapan</t>
  </si>
  <si>
    <t>Lampu TL 5W</t>
  </si>
  <si>
    <t>PEKERJAAN FINISHING</t>
  </si>
  <si>
    <t>Pengecatan tembok</t>
  </si>
  <si>
    <t>Sama dengan luasan aci</t>
  </si>
  <si>
    <t>Pengecatan plafon</t>
  </si>
  <si>
    <t>Sama dengan luasan plafon</t>
  </si>
  <si>
    <t>Pengecatan Kayu</t>
  </si>
  <si>
    <t>Luas = Panjang x Lebar</t>
  </si>
  <si>
    <t>Pada Kusen dan Jelusi</t>
  </si>
  <si>
    <t>Pada Listplang</t>
  </si>
  <si>
    <t>Luas = Panjang X Lebar</t>
  </si>
  <si>
    <t>XI</t>
  </si>
  <si>
    <t>PEKERJAAN SEPTITANK &amp; PERESAPAN</t>
  </si>
  <si>
    <t>Galian Tanah</t>
  </si>
  <si>
    <t>Septictank</t>
  </si>
  <si>
    <t>Volume = Panjang X Lebar X Tinggi</t>
  </si>
  <si>
    <t>Peresapan</t>
  </si>
  <si>
    <t>Plesteran Transram</t>
  </si>
  <si>
    <t xml:space="preserve">Luas = </t>
  </si>
  <si>
    <t>Luas = (Panjang X Tinggi) X jumlah</t>
  </si>
  <si>
    <t>NOTE: Ganti hanya pada angka yang saya beri blok biru</t>
  </si>
  <si>
    <t>RUMAH TINGGAL SATU LANTAI</t>
  </si>
  <si>
    <t>6 = 4x5</t>
  </si>
  <si>
    <t>M²</t>
  </si>
  <si>
    <t>M³</t>
  </si>
  <si>
    <t>M'</t>
  </si>
  <si>
    <t>VIII</t>
  </si>
  <si>
    <t>BH</t>
  </si>
  <si>
    <t>RENCANA ANGGARAN BIAYA (RAB)</t>
  </si>
  <si>
    <t>Pembersihan Lahan</t>
  </si>
  <si>
    <t>M¹</t>
  </si>
  <si>
    <t>Administrasi &amp; Dokumentasi</t>
  </si>
  <si>
    <t>PEKERJAAN GALIAN TANAH &amp; URUGAN</t>
  </si>
  <si>
    <t>Urugan Pasir Dibawah Lantai</t>
  </si>
  <si>
    <t>PEKERJAAN PASANGAN &amp; PLESTERAN</t>
  </si>
  <si>
    <t>Pasangan Batu Kosong/Aanstamping</t>
  </si>
  <si>
    <t>PEKERJAAN ATAP &amp; PLAVOND</t>
  </si>
  <si>
    <t>Pasangan Listplank</t>
  </si>
  <si>
    <t>Pasangan List Plafond Profil</t>
  </si>
  <si>
    <t>PEKERJAAN KUSEN PINTU &amp; JENDELA</t>
  </si>
  <si>
    <t>Pasangan Daun Jendela Kaca</t>
  </si>
  <si>
    <t>Pasangan Lubang Angin</t>
  </si>
  <si>
    <t>PEKERJAAN LANTAI &amp; KERAMIK</t>
  </si>
  <si>
    <t>Pasangan Tegel Keramik (30/30)</t>
  </si>
  <si>
    <t>Pasangan Tegel Keramik (20/20)</t>
  </si>
  <si>
    <t>PEKERJAAN PENGGANTUNG &amp; PENGUNCI</t>
  </si>
  <si>
    <t>PEKERJAAN INSTALASI LISTRIK &amp; AIR</t>
  </si>
  <si>
    <t>Lampu TL 20W</t>
  </si>
  <si>
    <t>Lampu Pijar 25W</t>
  </si>
  <si>
    <t>Lampu Pijar 5W</t>
  </si>
  <si>
    <t>Cat Tembok</t>
  </si>
  <si>
    <t>Cat Plafond</t>
  </si>
  <si>
    <t>Manie Kayu</t>
  </si>
  <si>
    <t>Cat Kayu</t>
  </si>
  <si>
    <t>Pekerjaan Pasangan Batu Kosong</t>
  </si>
  <si>
    <t>Pekerjaan Urugan Batu Pecah (5/7)</t>
  </si>
  <si>
    <t>Pekerjaan Lapisan Ijuk (5cm)</t>
  </si>
  <si>
    <t>Pekerjaan Beton Sloof 15/20</t>
  </si>
  <si>
    <t>Pekerjaan Kolom Praktis (15/15)</t>
  </si>
  <si>
    <t>Pekerjaan Kolom (20/20)</t>
  </si>
  <si>
    <t>Pekerjaan Beton Ring Balk (15/15)</t>
  </si>
  <si>
    <t>Pekerjaan Beton Ring Balk (15/20)</t>
  </si>
  <si>
    <t>Pekerjaan Pelat Beton Penutup</t>
  </si>
  <si>
    <t>Pekerjaan Pipa PVC Ø 4"</t>
  </si>
  <si>
    <t>Pekerjaan Pipa Hawa Gip Ø 1,5"</t>
  </si>
  <si>
    <t>Pekerjaan Pasangan Tembok</t>
  </si>
  <si>
    <t>XII</t>
  </si>
  <si>
    <t>PEKERJAAN LAIN-LAIN</t>
  </si>
  <si>
    <t>Pembersihan Kembali</t>
  </si>
  <si>
    <t>No</t>
  </si>
  <si>
    <t>Uraian Pekerjaan</t>
  </si>
  <si>
    <t>Satuan</t>
  </si>
  <si>
    <t>Harga (Rp)</t>
  </si>
  <si>
    <t>Satuan (Rp)</t>
  </si>
  <si>
    <t>Jumlah (Rp)</t>
  </si>
  <si>
    <t>Jumlah I</t>
  </si>
  <si>
    <t>Jumlah II</t>
  </si>
  <si>
    <t>Jumlah III</t>
  </si>
  <si>
    <t>Jumlah IV</t>
  </si>
  <si>
    <t>Jumlah V</t>
  </si>
  <si>
    <t>Jumlah VI</t>
  </si>
  <si>
    <t>Jumlah VII</t>
  </si>
  <si>
    <t>Jumlah VIII</t>
  </si>
  <si>
    <t>Jumlah IX</t>
  </si>
  <si>
    <t>Jumlah X</t>
  </si>
  <si>
    <t>Jumlah XI</t>
  </si>
  <si>
    <t>Jumlah XII</t>
  </si>
  <si>
    <t>REKAP VOLUME PEKERJAAN</t>
  </si>
  <si>
    <t>Plesteran Dinding</t>
  </si>
  <si>
    <t>Acian Dinding</t>
  </si>
  <si>
    <t>kg/m3</t>
  </si>
  <si>
    <t>Bekisting</t>
  </si>
  <si>
    <t>Volume Bekisting = Panjang X Tinggi X 2 (kiri kanan)</t>
  </si>
  <si>
    <t>3.</t>
  </si>
  <si>
    <t>Jumlah Kolom Praktis</t>
  </si>
  <si>
    <t>Volume Bekisting = Lebar X Tinggi X 2 (kiri kanan) X 20 (buah)</t>
  </si>
  <si>
    <t xml:space="preserve">A.2.2.1 </t>
  </si>
  <si>
    <t>HARGA SATUAN PEKERJAAN PERSIAPAN</t>
  </si>
  <si>
    <t>A.1.1.1.1</t>
  </si>
  <si>
    <t>(K3) Pembuatan 1 m2 pagar sementara dari kayu tinggi 2 meter</t>
  </si>
  <si>
    <t>Uraian</t>
  </si>
  <si>
    <t>Kode</t>
  </si>
  <si>
    <t>Koefisien</t>
  </si>
  <si>
    <t>Harga Satuan (Rp.)</t>
  </si>
  <si>
    <t>Jumlah Harga (Rp.)</t>
  </si>
  <si>
    <t>A</t>
  </si>
  <si>
    <t>TENAGA</t>
  </si>
  <si>
    <t>Pekerja</t>
  </si>
  <si>
    <t>L.01.01</t>
  </si>
  <si>
    <t>OH</t>
  </si>
  <si>
    <t>Tukang Kayu</t>
  </si>
  <si>
    <t>L.02.04</t>
  </si>
  <si>
    <t>Kepala Tukang</t>
  </si>
  <si>
    <t>L.03.01</t>
  </si>
  <si>
    <t>Mandor</t>
  </si>
  <si>
    <t>L.04.01</t>
  </si>
  <si>
    <t>JUMLAH TENAGA KERJA</t>
  </si>
  <si>
    <t>B</t>
  </si>
  <si>
    <t>BAHAN</t>
  </si>
  <si>
    <t>Dolken kayu Ø 8-10/400 cm</t>
  </si>
  <si>
    <t>Batang</t>
  </si>
  <si>
    <t>Semen portland</t>
  </si>
  <si>
    <t>Koral beton</t>
  </si>
  <si>
    <t>Kayu 5/7</t>
  </si>
  <si>
    <t>Paku biasa</t>
  </si>
  <si>
    <t>Residu</t>
  </si>
  <si>
    <t>Liter</t>
  </si>
  <si>
    <t>JUMLAH HARGA BAHAN</t>
  </si>
  <si>
    <t>C</t>
  </si>
  <si>
    <t>PERALATAN</t>
  </si>
  <si>
    <t>JUMLAH HARGA ALAT</t>
  </si>
  <si>
    <t>D</t>
  </si>
  <si>
    <t>Jumlah (A+B+C)</t>
  </si>
  <si>
    <t>E</t>
  </si>
  <si>
    <t>Overhead &amp; Profit 10%</t>
  </si>
  <si>
    <t>F</t>
  </si>
  <si>
    <t>Harga Satuan Pekerjaan (D+E)</t>
  </si>
  <si>
    <t>A.1.1.1.2</t>
  </si>
  <si>
    <t>(K3) Pembuatan 1 m2   pagar sementara dari seng gelombang tinggi 2 meter</t>
  </si>
  <si>
    <t>Seng gelombang</t>
  </si>
  <si>
    <t>Lbr</t>
  </si>
  <si>
    <t>Meni besi</t>
  </si>
  <si>
    <t>A.1.1.1.3</t>
  </si>
  <si>
    <t>Pembuatan 1 m2   pagar sementara dari kawat duri tinggi 1,8 meter</t>
  </si>
  <si>
    <t>Kawat duri</t>
  </si>
  <si>
    <t>M’</t>
  </si>
  <si>
    <t>Paku biasa 2” - 5”</t>
  </si>
  <si>
    <t>A.1.1.1.4</t>
  </si>
  <si>
    <t>Pengukuran dan pemasangan 1 m’ Bouwplank</t>
  </si>
  <si>
    <t>Kayu balok 5/7</t>
  </si>
  <si>
    <t>Paku 2”-3”</t>
  </si>
  <si>
    <t>Kayu papan 3/20</t>
  </si>
  <si>
    <t>A.1.1.1.5</t>
  </si>
  <si>
    <t>(K3) Pembuatan 1 m2 kantor sementara lantai plesteran</t>
  </si>
  <si>
    <t>Tukang batu</t>
  </si>
  <si>
    <t>L.02.03</t>
  </si>
  <si>
    <t>Besi strip</t>
  </si>
  <si>
    <t>Pasir pasang</t>
  </si>
  <si>
    <t>Bata merah</t>
  </si>
  <si>
    <t>Bh</t>
  </si>
  <si>
    <t>Seng plat</t>
  </si>
  <si>
    <t>Jendela naco</t>
  </si>
  <si>
    <t>Kaca polos</t>
  </si>
  <si>
    <t>Kunci tanam</t>
  </si>
  <si>
    <t>Plywood 4 mm</t>
  </si>
  <si>
    <t>A.1.1.1.6</t>
  </si>
  <si>
    <t>(K3) Pembuatan 1 m2 gudang</t>
  </si>
  <si>
    <t>Kayu</t>
  </si>
  <si>
    <t>A.1.1.1.7</t>
  </si>
  <si>
    <t>(K3) Pembuatan 1 m2 rumah jaga (konstruksi kayu )</t>
  </si>
  <si>
    <t>Kepala tukang</t>
  </si>
  <si>
    <t>A.1.1.1.8</t>
  </si>
  <si>
    <t>Pembersihan 1 m2 dan peralatan lapangan</t>
  </si>
  <si>
    <t>A.1.1.1.9</t>
  </si>
  <si>
    <t>(K3) Pembuatan 1 m2 bedeng pekerja</t>
  </si>
  <si>
    <t>A.1.1.1.10</t>
  </si>
  <si>
    <t>Pembuatan 1 m2 bak adukan</t>
  </si>
  <si>
    <t>Kayu papan kelas III</t>
  </si>
  <si>
    <t>Kayu balok 5/7 kelas III</t>
  </si>
  <si>
    <t>A.1.1.1.11</t>
  </si>
  <si>
    <t>Pembuatan 1 m2 perancah dari bambu s.d. tinggi 6 meter</t>
  </si>
  <si>
    <t>Bambu  diameter 6 - 8  / 600 cm</t>
  </si>
  <si>
    <t>Tali ijuk</t>
  </si>
  <si>
    <t>A.1.1.1.12</t>
  </si>
  <si>
    <t>Pembuatan 1 m2 jalan sementara</t>
  </si>
  <si>
    <t>Batu belah</t>
  </si>
  <si>
    <t>Batu pecah</t>
  </si>
  <si>
    <t>A.1.1.1.13</t>
  </si>
  <si>
    <t>Pembongkaran 1 m3 beton bertulang</t>
  </si>
  <si>
    <t>E.14</t>
  </si>
  <si>
    <t>Jack Hammer</t>
  </si>
  <si>
    <t>Sewa-hari</t>
  </si>
  <si>
    <t>A.1.1.1.14</t>
  </si>
  <si>
    <t>Pembongkaran 1 m3 dinding tembok bata</t>
  </si>
  <si>
    <t>A.1.1.1.15</t>
  </si>
  <si>
    <t>Pemasangan 1 m2  pagar kawat jaring galvanis panjang 240 cm</t>
  </si>
  <si>
    <t>Tukang</t>
  </si>
  <si>
    <t>L.02.01</t>
  </si>
  <si>
    <t>Kawat jaring</t>
  </si>
  <si>
    <t>A.1.1.1.16</t>
  </si>
  <si>
    <t>Pemasangan 1 m2 panel beton pracetak 50x50x240 cm</t>
  </si>
  <si>
    <t>Panel Beton Pracetak</t>
  </si>
  <si>
    <t>Kolom Benton Pracetak</t>
  </si>
  <si>
    <t>Koral</t>
  </si>
  <si>
    <t>A.1.5.1</t>
  </si>
  <si>
    <t>HARGA SATUAN PEKERJAAN TANAH</t>
  </si>
  <si>
    <t>A.1.5.1.1</t>
  </si>
  <si>
    <t>Penggalian 1 m3 tanah biasa sedalam s.d. 1 m</t>
  </si>
  <si>
    <t>A.1.5.1.2</t>
  </si>
  <si>
    <t>Penggalian 1 m3 tanah biasa sedalam &gt;1 s.d. 2 m</t>
  </si>
  <si>
    <t>A.1.5.1.3</t>
  </si>
  <si>
    <t>Penggalian 1 m3 tanah biasa sedalam &gt;2 s.d. 3 m</t>
  </si>
  <si>
    <t>A.1.5.1.4</t>
  </si>
  <si>
    <t>Penggalian 1 m3 tanah keras sedalam s.d. 1 m</t>
  </si>
  <si>
    <t>A.1.5.1.5</t>
  </si>
  <si>
    <t>Penggalian 1 m3  tanah cadas sedalam s.d. 1 m</t>
  </si>
  <si>
    <t>A.1.5.1.6</t>
  </si>
  <si>
    <t>Penggalian 1 m3 tanah lumpur sedalam s.d. 1 m</t>
  </si>
  <si>
    <t>A.1.5.1.7</t>
  </si>
  <si>
    <t xml:space="preserve">Pengerjaan stripping 1 m2  tanah tebing setinggi s.d. 1 meter </t>
  </si>
  <si>
    <t>A.1.5.1.8</t>
  </si>
  <si>
    <t>(K3) Pembuangan 1 m3 tanah sejauh s.d. 30 meter</t>
  </si>
  <si>
    <t>A.1.5.1.9</t>
  </si>
  <si>
    <t>Pengurugan kembali 1 m3 galian tanah Tanah Biasa Sedalam 1 M</t>
  </si>
  <si>
    <t>Pengurugan kembali 1 m3 galian dihitung dari 1/3 kali dari koefisien pekerjaan galian</t>
  </si>
  <si>
    <t>A.1.5.1.10</t>
  </si>
  <si>
    <t>(K3) Pemadatan tanah 1 m3  tanah ( per 20 cm)</t>
  </si>
  <si>
    <t>A.1.5.1.11</t>
  </si>
  <si>
    <t>Pengurugan 1 m3 dengan pasir urug</t>
  </si>
  <si>
    <t>Pasir urug</t>
  </si>
  <si>
    <t>M3</t>
  </si>
  <si>
    <t>A.1.5.1.12</t>
  </si>
  <si>
    <t>Pemasangan 1 m3  lapisan pudel campuran 1KP:3PP:7TL</t>
  </si>
  <si>
    <t>Kapur</t>
  </si>
  <si>
    <t>Pasir Pasang</t>
  </si>
  <si>
    <t>Tanah Liat</t>
  </si>
  <si>
    <t>A.1.5.1.13</t>
  </si>
  <si>
    <t>Pemasangan 1 m2  lapisan ijuk tebal 10 cm untuk bidang resapan</t>
  </si>
  <si>
    <t>Ijuk</t>
  </si>
  <si>
    <t>A.1.5.1.14</t>
  </si>
  <si>
    <t>Pengurugan 1 m3 dengan sirtu padat</t>
  </si>
  <si>
    <t>Sirtu</t>
  </si>
  <si>
    <t xml:space="preserve">A.3.1.1 </t>
  </si>
  <si>
    <t>HARGA SATUAN PEKERJAAN PONDASI</t>
  </si>
  <si>
    <t>A.3.1.1.1</t>
  </si>
  <si>
    <t>Pemasangan 1 m3 pondasi batu belah campuran 1SP : 3PP</t>
  </si>
  <si>
    <t>Tukang Batu</t>
  </si>
  <si>
    <t>A.3.1.1.2</t>
  </si>
  <si>
    <t>Pemasangan 1 m3 pondasi batu belah campuran 1SP : 4PP</t>
  </si>
  <si>
    <t>A.3.1.1.3</t>
  </si>
  <si>
    <t>Pemasangan 1 m3 pondasi batu belah campuran 1SP : 5PP</t>
  </si>
  <si>
    <t>A.3.1.1.4</t>
  </si>
  <si>
    <t>Pemasangan 1 m3 pondasi batu belah campuran 1SP : 6PP</t>
  </si>
  <si>
    <t>A.3.1.1.5</t>
  </si>
  <si>
    <t>Pemasangan 1 m3 pondasi batu belah campuran 1SP : 8PP</t>
  </si>
  <si>
    <t>A.3.1.1.6</t>
  </si>
  <si>
    <t>Pemasangan 1 m3 pondasi batu belah campuran 1SP : 1KP : 2PP</t>
  </si>
  <si>
    <t>A.3.1.1.7</t>
  </si>
  <si>
    <t>Pemasangan 1 m3 pondasi batu belah campuran 1 SP : 3 KP : 10 PP</t>
  </si>
  <si>
    <t>A.3.1.1.8</t>
  </si>
  <si>
    <t>Pemasangan 1 m3 pondasi batu belah campuran ¼ SP : 1 KP : 4PP</t>
  </si>
  <si>
    <t>A.3.1.1.9</t>
  </si>
  <si>
    <t>Pemasangan 1 m3 batu kosong (anstamping)</t>
  </si>
  <si>
    <t>A.3.1.1.10</t>
  </si>
  <si>
    <t>(K3) Pemasangan 1 m3 pondasi siklop, 60% beton campuran 1SP : 2 PB : 3 Kr dan 40% batu belah</t>
  </si>
  <si>
    <t>Besi beton (polos/ulir)</t>
  </si>
  <si>
    <t>Kawat beton</t>
  </si>
  <si>
    <t>A.3.1.1.11</t>
  </si>
  <si>
    <t>Pemasangan 1 m3 pondasi sumuran, diameter 100 cm</t>
  </si>
  <si>
    <t xml:space="preserve">A.4.1.1 </t>
  </si>
  <si>
    <t>HARGA SATUAN PEKERJAAN BETON</t>
  </si>
  <si>
    <t>A.4.1.1.1</t>
  </si>
  <si>
    <t>Membuat 1 m3 beton mutu f’c = 7,4 MPa (K 100)</t>
  </si>
  <si>
    <t>Air</t>
  </si>
  <si>
    <t>A.4.1.1.2</t>
  </si>
  <si>
    <t>Membuat 1 m3 beton mutu f’= 9,8 MPa (K 125)</t>
  </si>
  <si>
    <t>A.4.1.1.3</t>
  </si>
  <si>
    <t>Membuat 1 m3 beton mutu f’= 12,2 MPa (K 150)</t>
  </si>
  <si>
    <t>CATATAN</t>
  </si>
  <si>
    <t>Bobot isi pasir = 1.400 kg/m3,  Bobot isi kerikil = 1.350 kg/m3, Buckling factor pasir = 20 %</t>
  </si>
  <si>
    <t>A.4.1.1.4</t>
  </si>
  <si>
    <t>Membuat 1 m3 lantai kerja beton mutu f’c = 7,4 MPa (K 100), slump (3-6) cm, w/c = 0,87</t>
  </si>
  <si>
    <t>A.4.1.1.5</t>
  </si>
  <si>
    <t>Membuat 1 m3 beton mutu f’  = 14,5 MPa (K 175), slump (12 ±2) cm, w/c = 0,66</t>
  </si>
  <si>
    <t>A.4.1.1.6</t>
  </si>
  <si>
    <t>Membuat 1 m3 beton mutu f’= 16,9 MPa (K 200), slump (120 ± 20) mm, w/c = 0,61</t>
  </si>
  <si>
    <t>A.4.1.1.7</t>
  </si>
  <si>
    <t>Membuat 1 m3 beton mutu f’  = 19,3 MPa (K 225), slump (120 ± 20) mm, w/c = 0,58</t>
  </si>
  <si>
    <t>A.4.1.1.8</t>
  </si>
  <si>
    <t>Membuat 1 m3 beton mutu f’= 21,7 MPa (K 250), slump (120 ± 20) mm, w/c = 0,56</t>
  </si>
  <si>
    <t>A.4.1.1.9</t>
  </si>
  <si>
    <t>Membuat 1 m3 beton mutu f’ = 24,0 MPa (K 275), slump (120 ± 20) mm, w/c = 0,53</t>
  </si>
  <si>
    <t>A.4.1.1.10</t>
  </si>
  <si>
    <t>Membuat 1 m3 beton mutu f’c = 26,4 MPa (K 300), slump (120 ± 20) mm, w/c = 0,52</t>
  </si>
  <si>
    <t>A.4.1.1.11</t>
  </si>
  <si>
    <t>Membuat 1 m3 beton mutu f’c = 28,8 MPa (K 325), slump (120 ± 20) mm, w/c = 0,49</t>
  </si>
  <si>
    <t>A.4.1.1.12</t>
  </si>
  <si>
    <t>Membuat 1 m3 beton mutu f’c = 31,2 MPa (K 350), slump (120 ± 20) mm, w/c = 0,48</t>
  </si>
  <si>
    <t>A.4.1.1.13</t>
  </si>
  <si>
    <t>Untuk  pekerjaan  beton  pracetak  yang  bisa  diangkat 24 jam diperlukan penambahan bahan tambahan sesuai Tabel berikut:</t>
  </si>
  <si>
    <t>Bahan tambahan kimia</t>
  </si>
  <si>
    <r>
      <t>CATATAN: Bobot isi pasir = 1400 kg/m</t>
    </r>
    <r>
      <rPr>
        <i/>
        <vertAlign val="superscript"/>
        <sz val="10"/>
        <color rgb="FF000000"/>
        <rFont val="Arial"/>
        <family val="2"/>
      </rPr>
      <t>3</t>
    </r>
    <r>
      <rPr>
        <i/>
        <sz val="10"/>
        <color rgb="FF000000"/>
        <rFont val="Arial"/>
        <family val="2"/>
      </rPr>
      <t>, Bobot isi kerikil = 1350 kg/m</t>
    </r>
    <r>
      <rPr>
        <i/>
        <vertAlign val="superscript"/>
        <sz val="10"/>
        <color rgb="FF000000"/>
        <rFont val="Arial"/>
        <family val="2"/>
      </rPr>
      <t>3</t>
    </r>
    <r>
      <rPr>
        <i/>
        <sz val="10"/>
        <color rgb="FF000000"/>
        <rFont val="Arial"/>
        <family val="2"/>
      </rPr>
      <t xml:space="preserve">, Buckling factor pasir  = 20% </t>
    </r>
  </si>
  <si>
    <t>A.4.1.1.14</t>
  </si>
  <si>
    <t>Membuat 1 m3 beton kedap air dengan strorox - 100</t>
  </si>
  <si>
    <t>Strorox - 100</t>
  </si>
  <si>
    <t>A.4.1.1.15</t>
  </si>
  <si>
    <t>Pemasangan 1 m’ PVC Waterstop lebar 150 mm</t>
  </si>
  <si>
    <t>Tukang Pipa</t>
  </si>
  <si>
    <t>L.02.13</t>
  </si>
  <si>
    <t>Waterstop lebar 150 mm</t>
  </si>
  <si>
    <t>A.4.1.1.16</t>
  </si>
  <si>
    <t>Pemasangan 1 m’ PVC Waterstop lebar 200 mm</t>
  </si>
  <si>
    <t>Waterstop lebar 200 mm</t>
  </si>
  <si>
    <t>A.4.1.1.17</t>
  </si>
  <si>
    <t>Membuat 1 m’ PVC Waterstop lebar 230 mm - 320 mm</t>
  </si>
  <si>
    <t>Waterstop lebar 230 mm - 320 mm</t>
  </si>
  <si>
    <t>A.4.1.1.18</t>
  </si>
  <si>
    <t>Pembesian 10 kg dengan besi polos atau besi ulir</t>
  </si>
  <si>
    <t>Tukang Besi</t>
  </si>
  <si>
    <t>L.02.05</t>
  </si>
  <si>
    <t>A.4.1.1.19</t>
  </si>
  <si>
    <t>Pemasangan 10 kg kabel presstressed polos/strands</t>
  </si>
  <si>
    <t>A.4.1.1.20</t>
  </si>
  <si>
    <t>Pemasangan 1 kg jaring kawat baja (wiremesh) M6-M8</t>
  </si>
  <si>
    <t>Jaring kawat baja dilas</t>
  </si>
  <si>
    <t>A.4.1.1.21</t>
  </si>
  <si>
    <t>(K3) Pemasangan 1 m2 bekisting untuk pondasi telapak beton bangunan gedung</t>
  </si>
  <si>
    <t>Kayu kelas III</t>
  </si>
  <si>
    <t>Paku 5  - 10 cm</t>
  </si>
  <si>
    <t>Minyak bekisting</t>
  </si>
  <si>
    <t>A.4.1.1.22</t>
  </si>
  <si>
    <t>(K3) Pemasangan 1 m2 bekisting untuk sloof beton bangunan gedung</t>
  </si>
  <si>
    <t>A.4.1.1.23</t>
  </si>
  <si>
    <t>(K3) Pemasangan 1 m2 bekisting untuk kolom beton bangunan gedung</t>
  </si>
  <si>
    <t>Paku 5 - 12 cm</t>
  </si>
  <si>
    <t>Balok kayu kelas II</t>
  </si>
  <si>
    <t>Plywood 9 mm</t>
  </si>
  <si>
    <t>A.4.1.1.24</t>
  </si>
  <si>
    <t>(K3) Pemasangan 1 m2 bekisting untuk balok beton bangunan gedung</t>
  </si>
  <si>
    <t>A.4.1.1.25</t>
  </si>
  <si>
    <t>(K3) Pemasangan 1 m2 bekisting untuk plat lantai beton bangunan gedung</t>
  </si>
  <si>
    <t>A.4.1.1.26</t>
  </si>
  <si>
    <t>(K3) Pemasangan 1 m2 bekisting untuk dinding sheerwall</t>
  </si>
  <si>
    <t>Penjaga jarak bekisting / spacer</t>
  </si>
  <si>
    <t>Buah</t>
  </si>
  <si>
    <t>A.4.1.1.27</t>
  </si>
  <si>
    <t>(K3) Pemasangan 1 m2 bekisting untuk tangga</t>
  </si>
  <si>
    <t>A.4.1.1.28</t>
  </si>
  <si>
    <t>Pemasangan 1 m2 jembatan untuk pengecoran beton</t>
  </si>
  <si>
    <t>Kayu kelas III (papan)</t>
  </si>
  <si>
    <t>A.4.1.1.29</t>
  </si>
  <si>
    <t>Membuat 1 m3 pondasi beton bertulang (150 kg besi + bekisting)</t>
  </si>
  <si>
    <t>Tukang kayu</t>
  </si>
  <si>
    <t>Tukang besi</t>
  </si>
  <si>
    <t>Paku Biasa</t>
  </si>
  <si>
    <t>A.4.1.1.30</t>
  </si>
  <si>
    <t>Membuat 1 m3 sloof beton bertulang (200 kg besi + bekisting)</t>
  </si>
  <si>
    <t>A.4.1.1.31</t>
  </si>
  <si>
    <t>Membuat 1 m3 kolom beton bertulang (300 kg besi + bekisting)</t>
  </si>
  <si>
    <t>Kayu kelas II balok</t>
  </si>
  <si>
    <t>A.4.1.1.32</t>
  </si>
  <si>
    <t>Membuat 1 m3 balok beton bertulang (200 kg besi + bekisting)</t>
  </si>
  <si>
    <t>Lembar</t>
  </si>
  <si>
    <t>A.4.1.1.33</t>
  </si>
  <si>
    <t>Membuat 1 m3 kolom beton bertulang (150 kg besi + bekisting)</t>
  </si>
  <si>
    <t>A.4.1.1.34</t>
  </si>
  <si>
    <t>Membuat 1 m3 dinding beton bertulang (150 kg besi + bekisting)</t>
  </si>
  <si>
    <t>A.4.1.1.35</t>
  </si>
  <si>
    <t>Membuat 1 m3 dinding beton bertulang (200 kg besi + bekisting)</t>
  </si>
  <si>
    <t>A.4.1.1.36</t>
  </si>
  <si>
    <t>Membuat 1 m’  kolom praktis beton bertulang (11 x 11) cm</t>
  </si>
  <si>
    <t>A.4.1.1.37</t>
  </si>
  <si>
    <t>Membuat 1 m’ ring balok beton bertulang (10 x 15) cm</t>
  </si>
  <si>
    <t xml:space="preserve">A.4.1.2 </t>
  </si>
  <si>
    <t>HARGA SATUAN PEKERJAAN BETON PRACETAK</t>
  </si>
  <si>
    <t>A.4.1.2.1</t>
  </si>
  <si>
    <t>(K3) Pembuatan 1 m2 lahan produksi tebal 8cm beton f’c 14,5 Mpa (K 175) slump (120 ± 20) mm</t>
  </si>
  <si>
    <t>L</t>
  </si>
  <si>
    <t>A.4.1.2.2</t>
  </si>
  <si>
    <t>(K3) Pembuatan 1 m2 lahan produksi tebal 10 cm beton f’c 14,5 Mpa (K 175) slump (120 ± 20) mm</t>
  </si>
  <si>
    <t>A.4.1.2.3</t>
  </si>
  <si>
    <t>(K3) Pembuatan 1 m2  lahan produksi tebal 12 cm beton f’c 14,5 Mpa (K 175) slump (120 ± 20) mm</t>
  </si>
  <si>
    <t>A.4.1.2.4</t>
  </si>
  <si>
    <t>(K3) Pembuatan 1 m2  lahan produksi tebal 15 cm beton f’c 14,5 Mpa (K 175) slump (120 ± 20) mm</t>
  </si>
  <si>
    <t>A.4.1.2.5</t>
  </si>
  <si>
    <t>Pembuatan 1 m2  bekisting untuk plat beton pracetak ( 5 kali pakai)</t>
  </si>
  <si>
    <t>Lantai kerja tebal 10cm</t>
  </si>
  <si>
    <t>Besi hollow 50.50.3</t>
  </si>
  <si>
    <t>Kayu kaso 5/7</t>
  </si>
  <si>
    <t>Phenol film 12mm</t>
  </si>
  <si>
    <t>Dynabol dia 12 x 120 mm</t>
  </si>
  <si>
    <t>A.4.1.2.6</t>
  </si>
  <si>
    <t>Pembuatan 1 m2  bekisting untuk balok beton pracetak ( 10-12 kali pakai)</t>
  </si>
  <si>
    <t>A.4.1.2.7</t>
  </si>
  <si>
    <t>Pembuatan 1 m2  bekisting untuk kolom beton pracetak (10-12 kali pakai)</t>
  </si>
  <si>
    <t>A.4.1.2.8</t>
  </si>
  <si>
    <t>Pemasangan dan membuka bekisting 1 buah komponen plat beton pracetak</t>
  </si>
  <si>
    <t>A.4.1.2.9</t>
  </si>
  <si>
    <t>Pemasangan dan membuka bekisting 1 buah komponen balok beton pracetak</t>
  </si>
  <si>
    <t>A.4.1.2.10</t>
  </si>
  <si>
    <t>Pemasangan dan membuka bekisting 1 buah komponen Kolom beton pracetak</t>
  </si>
  <si>
    <t>A.4.1.2.11</t>
  </si>
  <si>
    <t>Penuangan/menebar beton 1 m3 untuk pelat beton pracetak</t>
  </si>
  <si>
    <t>Tukang vibrator</t>
  </si>
  <si>
    <t>L.02.14</t>
  </si>
  <si>
    <t>A.4.1.2.12</t>
  </si>
  <si>
    <t>Penuangan/menebar beton 1 m3 untuk balok beton pracetak</t>
  </si>
  <si>
    <t>A.4.1.2.13</t>
  </si>
  <si>
    <t>Penuangan/menebar beton untuk 1 m3 untuk kolom beton pracetak</t>
  </si>
  <si>
    <t>A.4.1.2.14</t>
  </si>
  <si>
    <t>Pemasangan 1 buah komponen pelat beton pracetak beserta indexks kenaikan lantai ereksi pelat hingga 24 lantai</t>
  </si>
  <si>
    <r>
      <t xml:space="preserve">Operator </t>
    </r>
    <r>
      <rPr>
        <i/>
        <sz val="10"/>
        <color rgb="FF000000"/>
        <rFont val="Arial"/>
        <family val="2"/>
      </rPr>
      <t>crane</t>
    </r>
  </si>
  <si>
    <t>L.10.01</t>
  </si>
  <si>
    <r>
      <t xml:space="preserve">Pembantu operator </t>
    </r>
    <r>
      <rPr>
        <i/>
        <sz val="10"/>
        <color rgb="FF000000"/>
        <rFont val="Arial"/>
        <family val="2"/>
      </rPr>
      <t>crane</t>
    </r>
  </si>
  <si>
    <t>L.10.02</t>
  </si>
  <si>
    <t>Tukang ereksi</t>
  </si>
  <si>
    <t>L.02.09</t>
  </si>
  <si>
    <t>Solar</t>
  </si>
  <si>
    <r>
      <t xml:space="preserve">Sewa </t>
    </r>
    <r>
      <rPr>
        <i/>
        <sz val="10"/>
        <color rgb="FF000000"/>
        <rFont val="Arial"/>
        <family val="2"/>
      </rPr>
      <t>crane</t>
    </r>
  </si>
  <si>
    <t>unit hari</t>
  </si>
  <si>
    <r>
      <t xml:space="preserve">Sewa </t>
    </r>
    <r>
      <rPr>
        <i/>
        <sz val="10"/>
        <color rgb="FF000000"/>
        <rFont val="Arial"/>
        <family val="2"/>
      </rPr>
      <t>pipe support</t>
    </r>
  </si>
  <si>
    <t>Buah hari</t>
  </si>
  <si>
    <t>Indeks kenaikan lantai ereksi komponen untuk pelat pracetak</t>
  </si>
  <si>
    <t>Lantai</t>
  </si>
  <si>
    <t xml:space="preserve">Indeks kenaikan lantai </t>
  </si>
  <si>
    <t>ereksi pelat</t>
  </si>
  <si>
    <t>A.4.1.2.15</t>
  </si>
  <si>
    <t>Pemasangan 1 buah komponen balok beton pracetak beserta indexks kenaikan lantai ereksi pelat hingga 24 lantai</t>
  </si>
  <si>
    <t>Indeks kenaikan lantai ereksi komponen untuk Balok pracetak</t>
  </si>
  <si>
    <t>ereksi Balok</t>
  </si>
  <si>
    <t>A.4.1.2.16</t>
  </si>
  <si>
    <t>Pemasangan 1 buah komponen kolom beton pracetak beserta indexks kenaikan lantai ereksi pelat hingga 24 lantai</t>
  </si>
  <si>
    <t>Indeks kenaikan lantai ereksi komponen untuk Kolom pracetak</t>
  </si>
  <si>
    <t>Indeks kenaikan lantai ereksi kolom</t>
  </si>
  <si>
    <t>A.4.1.2.17</t>
  </si>
  <si>
    <t>Pemindahan 1 buah komponen untuk pelat beton pracetak ( ± 20 m)</t>
  </si>
  <si>
    <t>Operator crane</t>
  </si>
  <si>
    <t>Pembantu operator crane</t>
  </si>
  <si>
    <t>Sewa crane</t>
  </si>
  <si>
    <t>UH</t>
  </si>
  <si>
    <t>A.4.1.2.18</t>
  </si>
  <si>
    <t>Pemindahan 1 buah komponen untuk balok beton pracetak ( ± 20 m)</t>
  </si>
  <si>
    <t>A.4.1.2.19</t>
  </si>
  <si>
    <t>Pemindahan 1 buah komponen untuk kolom beton pracetak ( ± 20 m)</t>
  </si>
  <si>
    <t>A.4.1.2.20</t>
  </si>
  <si>
    <t>Bahan 1 m3 grouting campuran</t>
  </si>
  <si>
    <t>Semen grout</t>
  </si>
  <si>
    <t>Screening</t>
  </si>
  <si>
    <t>A.4.1.2.21</t>
  </si>
  <si>
    <t>Bahan 1 m3 grouting tidak campuran</t>
  </si>
  <si>
    <t>A.4.1.2.22</t>
  </si>
  <si>
    <t>Upah 1 titik pekerjaan grout paa joint beton pracetak</t>
  </si>
  <si>
    <t>A.4.1.2.23</t>
  </si>
  <si>
    <t>Pemasangan 1 titik bekisting joint pracetak</t>
  </si>
  <si>
    <t>A.4.1.2.24</t>
  </si>
  <si>
    <t>Upah  1 titik Join dengan Sling</t>
  </si>
  <si>
    <t xml:space="preserve">A.4.2.1 </t>
  </si>
  <si>
    <t>HARGA SATUAN PEKERJAAN BESI DAN ALUMUNIUM</t>
  </si>
  <si>
    <t>A.4.2.1.1</t>
  </si>
  <si>
    <t>Pemasangan 1 kg besi profil</t>
  </si>
  <si>
    <t>Tukang Las Konstruksi</t>
  </si>
  <si>
    <t>L.02.10</t>
  </si>
  <si>
    <t>Besi Profil</t>
  </si>
  <si>
    <t>A.4.2.1.2</t>
  </si>
  <si>
    <t>Pemasangan 1 kg rangka kuda-kuda baja IWF</t>
  </si>
  <si>
    <t>Besi IWF</t>
  </si>
  <si>
    <t>A.4.2.1.3</t>
  </si>
  <si>
    <t>Pengerjaan 100 kg pekerjaan perakitan</t>
  </si>
  <si>
    <t>Tukang Besi Konstruksi</t>
  </si>
  <si>
    <t>L.02.06</t>
  </si>
  <si>
    <t>Minyak pelumas</t>
  </si>
  <si>
    <t>Sewa alat Perakitan Baja IWF</t>
  </si>
  <si>
    <t>Jam</t>
  </si>
  <si>
    <t>A.4.2.1.4</t>
  </si>
  <si>
    <t>Pembuatan 1 m2 pintu besi plat baja tebal 2 mm rangkap, rangka baja siku</t>
  </si>
  <si>
    <t>Tukang Las</t>
  </si>
  <si>
    <t>L.02.11</t>
  </si>
  <si>
    <t>Besi siku L 30.30.3</t>
  </si>
  <si>
    <t>Besi plat baja</t>
  </si>
  <si>
    <t>Kawat las</t>
  </si>
  <si>
    <t>A.4.2.1.5</t>
  </si>
  <si>
    <t>Pengerjaan 10 cm pengelasan dengan las listrik</t>
  </si>
  <si>
    <t>Kawat las listrik</t>
  </si>
  <si>
    <t>Sewa alat Las Listrik</t>
  </si>
  <si>
    <t>A.4.2.1.6</t>
  </si>
  <si>
    <t>Pembuatan 1 m2 rangka jendela besi scuare tube (25 x 5) cm</t>
  </si>
  <si>
    <t>Besi scuare tube</t>
  </si>
  <si>
    <t>Besi lis kaca (1 x 1) cm</t>
  </si>
  <si>
    <t>Pengelasan</t>
  </si>
  <si>
    <t>cm</t>
  </si>
  <si>
    <t>A.4.2.1.7</t>
  </si>
  <si>
    <t>Pemasangan 1 m2 pintu rolling door besi</t>
  </si>
  <si>
    <t>Pintu gulung besi</t>
  </si>
  <si>
    <t>A.4.2.1.8</t>
  </si>
  <si>
    <t>Pemasangan 1 m2 pintu lipat (folding door) bahan plastik/PVC</t>
  </si>
  <si>
    <t>Pintu lipat</t>
  </si>
  <si>
    <t>A.4.2.1.9</t>
  </si>
  <si>
    <t>Pemasangan 1 m2 sunscreen alluminium</t>
  </si>
  <si>
    <t>Sunscreen alluminium</t>
  </si>
  <si>
    <t>A.4.2.1.10</t>
  </si>
  <si>
    <t>Pemasangan 1 m2 rolling door alluminium</t>
  </si>
  <si>
    <t>Tukang Alumunium</t>
  </si>
  <si>
    <t>L.02.02</t>
  </si>
  <si>
    <t>Rolling dor alluminium</t>
  </si>
  <si>
    <t>A.4.2.1.11</t>
  </si>
  <si>
    <t>Pemasangan 1 m kusen pintu alluminium</t>
  </si>
  <si>
    <t>Profil alluminium</t>
  </si>
  <si>
    <t>Skrup fixer</t>
  </si>
  <si>
    <t>Sealant</t>
  </si>
  <si>
    <t>Tube</t>
  </si>
  <si>
    <t>A.4.2.1.12</t>
  </si>
  <si>
    <t>Pemasangan 1 m2   pintu alluminium strip lebar 8 cm</t>
  </si>
  <si>
    <t>Aluminium strip</t>
  </si>
  <si>
    <t>A.4.2.1.13</t>
  </si>
  <si>
    <t>Pemasangan 1 m2   pintu kaca rangka alluminium</t>
  </si>
  <si>
    <t>Pintu alluminium</t>
  </si>
  <si>
    <t>Profil kaca</t>
  </si>
  <si>
    <t>A.4.2.1.14</t>
  </si>
  <si>
    <t>Pemasangan 1 m2   venetions blinds dan Vertical blinds</t>
  </si>
  <si>
    <t>Venetions blinds dan vertical blinds (tirai)</t>
  </si>
  <si>
    <t>A.4.2.1.15</t>
  </si>
  <si>
    <t>Pemasangan 1 m2   terali besi strip (2 x 3) mm</t>
  </si>
  <si>
    <t>A.4.2.1.16</t>
  </si>
  <si>
    <t>Pemasangan 1 m2   kawat nyamuk</t>
  </si>
  <si>
    <t>Kawat nyamuk</t>
  </si>
  <si>
    <t>Baja strip (0,2 x 2) cm</t>
  </si>
  <si>
    <t>A.4.2.1.17</t>
  </si>
  <si>
    <t>Pemasangan 1 m2   jendela nako &amp; tralis</t>
  </si>
  <si>
    <t>Jendela nako (rangka + kaca 5 mm)</t>
  </si>
  <si>
    <t>Paku skrup</t>
  </si>
  <si>
    <t>A.4.2.1.18</t>
  </si>
  <si>
    <t>Pemasangan 1 m’ talang datar/ jurai seng bjls 28 lebar 90 cm</t>
  </si>
  <si>
    <t>Kayu Papan kelas II</t>
  </si>
  <si>
    <t>A.4.2.1.19</t>
  </si>
  <si>
    <t>Pemasangan 1 m  talang ½ lingkaran  D-15 cm, seng plat bjls 30 lebar 45 cm</t>
  </si>
  <si>
    <t>A.4.2.1.20</t>
  </si>
  <si>
    <t>Pemasangan 1 m2 rangka besi hollow 1x40.40.2mm, modul 60 x 120 cm, dinding partisi</t>
  </si>
  <si>
    <t>Rangka metal hollow 40.40.2 mm</t>
  </si>
  <si>
    <t>M1</t>
  </si>
  <si>
    <t>Assesoris (perkuatan, las dll)</t>
  </si>
  <si>
    <t>Ls</t>
  </si>
  <si>
    <t>A.4.2.1.21</t>
  </si>
  <si>
    <t>Pemasangan 1 m2  rangka besi hollow 1x40.40.2mm, modul 60 x 60 cm, plafon</t>
  </si>
  <si>
    <t>A.4.2.1.22</t>
  </si>
  <si>
    <t xml:space="preserve">(K3) Pemasangan 1 m2  atap pelana rangka atap baja canai dingin profil C75 </t>
  </si>
  <si>
    <t>Baja ringan canai dingin C75</t>
  </si>
  <si>
    <t>Alat Rangka Atap Baja Canai Dingin</t>
  </si>
  <si>
    <t>A.4.2.1.23</t>
  </si>
  <si>
    <t xml:space="preserve">(K3) Pemasangan 1 m2  atap jurai rangka atap baja canai dingin profil C75 </t>
  </si>
  <si>
    <t>A.4.2.1.24</t>
  </si>
  <si>
    <t>Pemasangan 1 M2 pasang kuda-kuda baja ringan serta reng untuk atap genteng biasa/metal</t>
  </si>
  <si>
    <t>Baut (Srew driver)</t>
  </si>
  <si>
    <t>Reng Canai Dingin</t>
  </si>
  <si>
    <t>Talang / Jurai Canai Dingin</t>
  </si>
  <si>
    <t>A.4.2.1.25</t>
  </si>
  <si>
    <t>Pemasangan 1 m2 venetians blinds dan vertical blinds</t>
  </si>
  <si>
    <t>Venetians blinds dan vertical blinds (tirai)</t>
  </si>
  <si>
    <t>M2</t>
  </si>
  <si>
    <t xml:space="preserve">A.4.4.1 </t>
  </si>
  <si>
    <t>HARGA SATUAN PEKERJAAN PASANGAN DINDING</t>
  </si>
  <si>
    <t>A.4.4.1.1</t>
  </si>
  <si>
    <t>Pemasangan 1m2 dinding bata merah (5x11x22) cm tebal 1 batu dengan mortar tipe m, fc' 17,2 Mpa (setara campuran  1 SP : 2 PP)</t>
  </si>
  <si>
    <t>A.4.4.1.2</t>
  </si>
  <si>
    <t>Pemasangan 1m2 dinding bata merah (5x11x22) cm tebal 1 batu dengan mortar tipe s, fc' 12,5 Mpa (setara campuran  1 SP : 3 PP)</t>
  </si>
  <si>
    <t>A.4.4.1.3</t>
  </si>
  <si>
    <t>Pemasangan 1m2 dinding bata merah (5x11x22) cm tebal 1 batu dengan mortar tipe n, fc' 5,2 Mpa (setara campuran  1 SP : 4 PP)</t>
  </si>
  <si>
    <t>A.4.4.1.4</t>
  </si>
  <si>
    <t>Pemasangan 1m2 dinding bata merah (5x11x22) cm tebal 1 batu dengan mortar tipe o, fc' 2,4 Mpa (setara campuran  1 SP : 5 PP)</t>
  </si>
  <si>
    <t>A.4.4.1.5</t>
  </si>
  <si>
    <t>Pemasangan 1m2 dinding bata merah (5x11x22) cm tebal 1 batu  campuran  1 SP : 6 PP</t>
  </si>
  <si>
    <t>A.4.4.1.6</t>
  </si>
  <si>
    <t>Pemasangan 1m2  dinding bata merah (5x11x22) cm tebal 1 batu campuran 1SP : 3KP : 10PP</t>
  </si>
  <si>
    <t>A.4.4.1.7</t>
  </si>
  <si>
    <t>Pemasangan 1m2 Dinding Bata Merah (5x11x22) cm Tebal ½ Batu dengan Mortar tipe m,fc’ 17,2 Mpa ( Setara Campuran 1SP : 2PP)</t>
  </si>
  <si>
    <t>A.4.4.1.8</t>
  </si>
  <si>
    <t>Pemasangan 1m2 Dinding Bata Merah (5x11x22) cm Tebal ½ Batu dengan Mortar tipe s,fc’ 12,5 Mpa (setara campuran  1 SP : 3 PP)</t>
  </si>
  <si>
    <t>A.4.4.1.9</t>
  </si>
  <si>
    <t>Pemasangan 1m2 Dinding Bata Merah (5x11x22) cm Tebal ½ Batu dengan Mortar tipe n,fc’ 5,2 Mpa (setara campuran  1 SP : 4 PP)</t>
  </si>
  <si>
    <t>A.4.4.1.10</t>
  </si>
  <si>
    <t>Pemasangan 1m2 Dinding Bata Merah (5x11x22) cm Tebal ½ Batu dengan Mortar tipe o,fc’ fc' 2,4 Mpa (setara campuran  1 SP : 5 PP)</t>
  </si>
  <si>
    <t>A.4.4.1.11</t>
  </si>
  <si>
    <t>Pemasangan 1m2 Dinding Bata Merah (5x11x22) cm Tebal ½ Batu campuran 1 SP : 6PP</t>
  </si>
  <si>
    <t>A.4.4.1.12</t>
  </si>
  <si>
    <t>Pemasangan 1m2 dinding bata merah (5x11x22)cm tebal ½ batu campuran  1SP : 8 PP</t>
  </si>
  <si>
    <t>A.4.4.1.13</t>
  </si>
  <si>
    <t>Pemasangan 1m2  dinding bata merah (5x11x22)cm tebal ½ batu campuran 1SP : 3KP :10PP</t>
  </si>
  <si>
    <t>A.4.4.1.14</t>
  </si>
  <si>
    <t>Pemasangan 1m2 dinding bata merah (5x11x22)cm tebal ½ batu campuran 1SM : 1KP :1PP</t>
  </si>
  <si>
    <t>Semen Merah</t>
  </si>
  <si>
    <t>A.4.4.1.15</t>
  </si>
  <si>
    <t>Pemasangan 1m2 dinding bata merah (5x11x22) cm tebal ½ batu campuran  1SM : 1KP :2PP</t>
  </si>
  <si>
    <t>A.4.4.1.16</t>
  </si>
  <si>
    <t>Pemasangan 1m2 dinding conblock HB20 dengan mortar tipe s, fc' 12,5 Mpa (setara campuran  1SP  : 3PP)</t>
  </si>
  <si>
    <t>HB-20</t>
  </si>
  <si>
    <t>Besi angker dia 8</t>
  </si>
  <si>
    <t>A.4.4.1.17</t>
  </si>
  <si>
    <t>Pemasangan 1m2 dinding conblock HB20 dengan mortar tipe n, fc' 5,2 Mpa (setara campuran  1SP  : 4PP)</t>
  </si>
  <si>
    <t>A.4.4.1.18</t>
  </si>
  <si>
    <t>Pemasangan 1m2 dinding conblock HB15 dengan mortar tipe s, fc' 12,5 Mpa (setara campuran  1SP  : 3PP)</t>
  </si>
  <si>
    <t>HB-15</t>
  </si>
  <si>
    <t>A.4.4.1.19</t>
  </si>
  <si>
    <t>Pemasangan 1m2 dinding conblock HB15 dengan mortar tipe n, fc' 5,2 Mpa (setara campuran  1SP  : 4PP)</t>
  </si>
  <si>
    <t>A.4.4.1.20</t>
  </si>
  <si>
    <t>Pemasangan 1m2 dinding conblock HB10 dengan mortar tipe s, fc' 12,5 Mpa (setara campuran  1SP  : 3PP)</t>
  </si>
  <si>
    <t>HB-10</t>
  </si>
  <si>
    <t>A.4.4.1.21</t>
  </si>
  <si>
    <t>Pemasangan 1m2 dinding conblock HB10 dengan mortar tipe n, fc' 5,2 Mpa (setara campuran  1SP  : 4PP)</t>
  </si>
  <si>
    <t>A.4.4.1.22</t>
  </si>
  <si>
    <t>Pemasangan 1m2 dinding terawang (rooster) 12x11x24 dengan mortar tipe s, fc' 12,5 Mpa (setara campuran  1SP  : 3PP)</t>
  </si>
  <si>
    <t>Bata rooster</t>
  </si>
  <si>
    <t>A.4.4.1.23</t>
  </si>
  <si>
    <t>Pemasangan 1m2 dinding terawang (rooster) 12x11x24 dengan mortar tipe n, fc' 5,2 Mpa (setara campuran  1SP  : 4PP)</t>
  </si>
  <si>
    <t>Bata berongga</t>
  </si>
  <si>
    <t>A.4.4.1.24</t>
  </si>
  <si>
    <t>Pemasangan 1m2 dinding berongga ekspose 12x11x24 dengan mortar tipe s, fc' 12,5 Mpa (setara campuran  1SP  : 3PP)</t>
  </si>
  <si>
    <t>A.4.4.1.25</t>
  </si>
  <si>
    <t>Pemasangan 1m2 dinding berongga ekspose 12x11x24 dengan mortar tipe n, fc' 5,2 Mpa (setara campuran  1SP  : 4PP)</t>
  </si>
  <si>
    <t>Bata  ringan tebal 7,5 cm</t>
  </si>
  <si>
    <t>Mortar siap pakai</t>
  </si>
  <si>
    <t>Peralatan Pasang Dinding Bata Ringan</t>
  </si>
  <si>
    <t>A.4.4.1.26</t>
  </si>
  <si>
    <t>Pemasangan 1 m2 dinding bata ringan tebal 10 cm dengan mortar siap pakai</t>
  </si>
  <si>
    <t xml:space="preserve">A.4.4.2 </t>
  </si>
  <si>
    <t>HARGA SATUAN PEKERJAAN PLESTERAN</t>
  </si>
  <si>
    <t>A.4.4.2.1</t>
  </si>
  <si>
    <t>Pemasangan 1 m2 plesteran 1SP : 1PP tebal 15 mm.</t>
  </si>
  <si>
    <t>A.4.4.2.2</t>
  </si>
  <si>
    <t>Pemasangan 1 m2 plesteran 1SP : 2PP tebal 15 mm.</t>
  </si>
  <si>
    <t>A.4.4.2.3</t>
  </si>
  <si>
    <t>Pemasangan 1 m2 plesteran 1SP : 3PP tebal 15mm.</t>
  </si>
  <si>
    <t>A.4.4.2.4</t>
  </si>
  <si>
    <t>Pemasangan 1 m2 plesteran 1SP : 4PP tebal 15 mm</t>
  </si>
  <si>
    <t>A.4.4.2.5</t>
  </si>
  <si>
    <t>Pemasangan 1 m2 plesteran 1SP : 5PP tebal 15 mm</t>
  </si>
  <si>
    <t>A.4.4.2.6</t>
  </si>
  <si>
    <t>Pemasangan 1 m2 plesteran 1SP : 6PP tebal 15 mm.</t>
  </si>
  <si>
    <t>A.4.4.2.7</t>
  </si>
  <si>
    <t>Pemasangan 1 m2 plesteran 1SP : 7PP tebal 15 mm</t>
  </si>
  <si>
    <t>A.4.4.2.8</t>
  </si>
  <si>
    <t>Pemasangan 1 m2 plesteran 1SP : 8PP tebal 15 mm</t>
  </si>
  <si>
    <t>A.4.4.2.9</t>
  </si>
  <si>
    <t>Pemasangan 1 m2 plesteran 1SP : 1/2KP : 3PP tebal 15 mm</t>
  </si>
  <si>
    <t>Kapur Pasang</t>
  </si>
  <si>
    <t>A.4.4.2.10</t>
  </si>
  <si>
    <t>Pemasangan 1 m2 plesteran 1SP : 2KP : 8PP tebal 15 mm</t>
  </si>
  <si>
    <t>A.4.4.2.11</t>
  </si>
  <si>
    <t>Pemasangan 1 m2 plesteran 1SM : 1KP : 1PP tebal 15 mm</t>
  </si>
  <si>
    <t>A.4.4.2.12</t>
  </si>
  <si>
    <t>Pemasangan 1 m2 plesteran 1SM : 1KP : 2PP tebal 15 mm</t>
  </si>
  <si>
    <t>A.4.4.2.13</t>
  </si>
  <si>
    <t>Pemasangan 1 m2 plesteran 1SP : 1PP tebal 20 mm</t>
  </si>
  <si>
    <t>A.4.4.2.14</t>
  </si>
  <si>
    <t>Pemasangan 1 m2 plesteran 1SP : 3PP tebal 20 mm</t>
  </si>
  <si>
    <t>A.4.4.2.15</t>
  </si>
  <si>
    <t>Pemasangan 1 m2 plesteran 1SP : 4PP tebal 20 mm.</t>
  </si>
  <si>
    <t>A.4.4.2.16</t>
  </si>
  <si>
    <t>Pemasangan 1 m2 plesteran 1SP : 5PP tebal 20 mm</t>
  </si>
  <si>
    <t>A.4.4.2.17</t>
  </si>
  <si>
    <t>Pemasangan 1 m2 plesteran 1SP : 6PP tebal 20 mm</t>
  </si>
  <si>
    <t>A.4.4.2.18</t>
  </si>
  <si>
    <t>Pemasangan 1 m2 plesteran 1SM : 1KP : 2PP tebal 20 mm</t>
  </si>
  <si>
    <t>A.4.4.2.19</t>
  </si>
  <si>
    <t>Pemasangan 1 m2 berapen 1SP : 5PP tebal 15 mm</t>
  </si>
  <si>
    <t>A.4.4.2.20</t>
  </si>
  <si>
    <t>Pemasangan 1 m’ plesteran skoning 1SP : 3PP lebar 10 cm</t>
  </si>
  <si>
    <t>A.4.4.2.21</t>
  </si>
  <si>
    <t>Pemasangan 1 m2 plesteran granit  1SP : 2 granit tebal 1cm</t>
  </si>
  <si>
    <t>Batu granit</t>
  </si>
  <si>
    <t>A.4.4.2.22</t>
  </si>
  <si>
    <t>Pemasangan 1 m2 plesteran traso  1SP : 2 traso tebal 1cm</t>
  </si>
  <si>
    <t>Batu traso</t>
  </si>
  <si>
    <t>A.4.4.2.23</t>
  </si>
  <si>
    <t>Pemasangan 1 m2 plesteran ciprat  1SP : 2PP</t>
  </si>
  <si>
    <t>A.4.4.2.24</t>
  </si>
  <si>
    <t>Pemasangan 1 m2 finishing siar pasangan bata merah</t>
  </si>
  <si>
    <t>A.4.4.2.25</t>
  </si>
  <si>
    <t>Pemasangan 1 m2 finishing siar pasangan conblock ekspose</t>
  </si>
  <si>
    <t>A.4.4.2.26</t>
  </si>
  <si>
    <t>Pemasangan 1 m2 finishing siar pasangan batu kali, campuran 1SP : 2PP.</t>
  </si>
  <si>
    <t>A.4.4.2.27</t>
  </si>
  <si>
    <t>Pemasangan 1 m2 acian.</t>
  </si>
  <si>
    <t>A.4.4.2.28</t>
  </si>
  <si>
    <t xml:space="preserve">Pemasangan 1 m2 plesteran dengan mortar siap pakai (MSP) </t>
  </si>
  <si>
    <t>Semen mortar pasangan</t>
  </si>
  <si>
    <t>A.4.4.2.29</t>
  </si>
  <si>
    <t xml:space="preserve">Pemasangan 1 m2 Acian dengan mortar siap pakai (MSP) </t>
  </si>
  <si>
    <t>Semen mortar Acian</t>
  </si>
  <si>
    <t xml:space="preserve">A.4.4.3 </t>
  </si>
  <si>
    <t>HARGA SATUAN PEKERJAAN PENUTUP LANTAI DAN PENUTUP DINDING</t>
  </si>
  <si>
    <t>A.4.4.3.1</t>
  </si>
  <si>
    <t>Pemasangan 1m2 lantai ubin PC abu-abu ukuran 40cm x40cm</t>
  </si>
  <si>
    <t>ubin PC abu-abu ukuran 40cm x40cm</t>
  </si>
  <si>
    <t>A.4.4.3.2</t>
  </si>
  <si>
    <t>Pemasangan 1m2 lantai ubin PC abu-abu ukuran 30cm x30 cm</t>
  </si>
  <si>
    <t>ubin PC abu-abu ukuran 30cm x30 cm</t>
  </si>
  <si>
    <t>A.4.4.3.3</t>
  </si>
  <si>
    <t>Pemasangan 1m2 lantai ubin PC abu-abu ukuran 20cm x20 cm</t>
  </si>
  <si>
    <t>ubin PC abu-abu ukuran 20cm x20 cm</t>
  </si>
  <si>
    <t>A.4.4.3.4</t>
  </si>
  <si>
    <t>Pemasangan 1m2 lantai ubin warna  ukuran 40cm x40 cm</t>
  </si>
  <si>
    <t>ubin warna  ukuran 40cm x40 cm</t>
  </si>
  <si>
    <t>Semen Warna</t>
  </si>
  <si>
    <t>A.4.4.3.5</t>
  </si>
  <si>
    <t>Pemasangan 1m2 lantai ubin warna  ukuran 30cm x30cm</t>
  </si>
  <si>
    <t>ubin warna  ukuran 30cm x30cm</t>
  </si>
  <si>
    <t>A.4.4.3.6</t>
  </si>
  <si>
    <t>Pemasangan 1m2 lantai ubin warna  ukuran 20cm x20cm</t>
  </si>
  <si>
    <t>ubin warna  ukuran 20cm x20cm</t>
  </si>
  <si>
    <t>A.4.4.3.7</t>
  </si>
  <si>
    <t>Pemasangan 1m2 lantai ubin teraso  ukuran 40cm x40cm</t>
  </si>
  <si>
    <t>ubin teraso  ukuran 40cm x40cm</t>
  </si>
  <si>
    <t>A.4.4.3.8</t>
  </si>
  <si>
    <t>Pemasangan 1m2 lantai ubin teraso  ukuran 30cm x30cm</t>
  </si>
  <si>
    <t>ubin teraso  ukuran 30cm x30cm</t>
  </si>
  <si>
    <t>A.4.4.3.9</t>
  </si>
  <si>
    <t>Pemasangan 1m2 lantai ubin granit  ukuran 40cm x40cm</t>
  </si>
  <si>
    <t>ubin granit  ukuran 40cm x40cm</t>
  </si>
  <si>
    <t>A.4.4.3.10</t>
  </si>
  <si>
    <t>Pemasangan 1m2 lantai ubin granit  ukuran 30cm x30cm</t>
  </si>
  <si>
    <t>ubin granit  ukuran 30cm x30cm</t>
  </si>
  <si>
    <t>A.4.4.3.11</t>
  </si>
  <si>
    <t>Pemasangan 1m2 lantai ubin teralux  marmer ukuran 40cm x40cm</t>
  </si>
  <si>
    <t>ubin teralux  marmer ukuran 40cm x40cm</t>
  </si>
  <si>
    <t>A.4.4.3.12</t>
  </si>
  <si>
    <t>Pemasangan 1m2 lantai ubin teralux  ukuran 30cm x30cm</t>
  </si>
  <si>
    <t>ubin teralux  ukuran 30cm x30cm</t>
  </si>
  <si>
    <t>A.4.4.3.13</t>
  </si>
  <si>
    <t>Pemasangan 1m2 lantai ubin teralux marmer ukuran 60cm x60cm</t>
  </si>
  <si>
    <t>ubin teralux marmer ukuran 60cm x60cm</t>
  </si>
  <si>
    <t>A.4.4.3.14</t>
  </si>
  <si>
    <t>Pemasangan 1m2 lantai ubin teralux marmer ukuran 40cm x40cm</t>
  </si>
  <si>
    <t>ubin teralux marmer ukuran 40cm x40cm</t>
  </si>
  <si>
    <t>A.4.4.3.15</t>
  </si>
  <si>
    <t>Pemasangan 1m2 lantai ubin teralux marmer ukuran 30cm x30cm</t>
  </si>
  <si>
    <t>ubin teralux marmer ukuran 30cm x30cm</t>
  </si>
  <si>
    <t>A.4.4.3.16</t>
  </si>
  <si>
    <t>Pemasangan 1 m’ plint ubin Pc abu-abu ukuran 15cm x 20cm</t>
  </si>
  <si>
    <t>Plint ubin Pc abu-abu ukuran 15cm x 20cm</t>
  </si>
  <si>
    <t>A.4.4.3.17</t>
  </si>
  <si>
    <t>Pemasangan 1 m’ plint ubin Pc abu-abu ukuran 10cm x 30cm</t>
  </si>
  <si>
    <t>Plint ubin Pc abu-abu ukuran 10cm x 30cm</t>
  </si>
  <si>
    <t>A.4.4.3.18</t>
  </si>
  <si>
    <t>Pemasangan 1 m’ plint ubin Pc abu-abu ukuran 10cm x 40cm</t>
  </si>
  <si>
    <t>Plint ubin Pc abu-abu ukuran 10cm x 40cm</t>
  </si>
  <si>
    <t>A.4.4.3.19</t>
  </si>
  <si>
    <t>Pemasangan 1 m’ plint ubin warna ukuran 10cm x 20cm</t>
  </si>
  <si>
    <t>Plint ubin warna ukuran 10cm x 20cm</t>
  </si>
  <si>
    <t>A.4.4.3.20</t>
  </si>
  <si>
    <t>Pemasangan 1 m’ plint ubin warna ukuran 10cm x 30cm</t>
  </si>
  <si>
    <t>Plint ubin warna ukuran 10cm x 30cm</t>
  </si>
  <si>
    <t>A.4.4.3.21</t>
  </si>
  <si>
    <t>Pemasangan 1 m’ plint ubin warna ukuran 10cm x 40cm</t>
  </si>
  <si>
    <t>Plint ubin warna ukuran 10cm x 40cm</t>
  </si>
  <si>
    <t>A.4.4.3.22</t>
  </si>
  <si>
    <t>Pemasangan 1 m’ plint ubin teraso ukuran 10cm x 30cm</t>
  </si>
  <si>
    <t>Plint ubin teraso ukuran 10cm x 30cm</t>
  </si>
  <si>
    <t>A.4.4.3.23</t>
  </si>
  <si>
    <t>Pemasangan 1 m’ plint ubin teraso ukuran 10cm x 40cm</t>
  </si>
  <si>
    <t>Plint ubin teraso ukuran 10cm x 40cm</t>
  </si>
  <si>
    <t>A.4.4.3.24</t>
  </si>
  <si>
    <t>Pemasangan 1 m’ plint ubin granit ukuran 10cm x 40cm</t>
  </si>
  <si>
    <t>Plint ubin granit ukuran 10cm x 40cm</t>
  </si>
  <si>
    <t>A.4.4.3.25</t>
  </si>
  <si>
    <t>Pemasangan 1 m’ plint ubin granit ukuran 10cm x 30cm</t>
  </si>
  <si>
    <t>Plint ubin granit ukuran 10cm x 30cm</t>
  </si>
  <si>
    <t>A.4.4.3.26</t>
  </si>
  <si>
    <t>Pemasangan 1 m’ plint ubin teralux kerang ukuran 10cm x 40cm</t>
  </si>
  <si>
    <t>Plint ubin teralux kerang ukuran 10cm x 40cm</t>
  </si>
  <si>
    <t>A.4.4.3.27</t>
  </si>
  <si>
    <t>Pemasangan 1 m’ plint ubin teralux kerang ukuran 10cm x 30cm</t>
  </si>
  <si>
    <t>Plint ubin teralux kerang ukuran 10cm x 30cm</t>
  </si>
  <si>
    <t>A.4.4.3.28</t>
  </si>
  <si>
    <t>Pemasangan 1 m’ plint ubin teralux marmer ukuran 10cm x 60cm</t>
  </si>
  <si>
    <t>plint ubin teralux marmer ukuran 10cm x 60cm</t>
  </si>
  <si>
    <t>A.4.4.3.29</t>
  </si>
  <si>
    <t>Pemasangan 1 m’ plint ubin teralux marmer ukuran 10cm x 40cm</t>
  </si>
  <si>
    <t>Plint ubin teralux marmer ukuran 10cm x 40cm</t>
  </si>
  <si>
    <t>A.4.4.3.30</t>
  </si>
  <si>
    <t>Pemasangan 1 m’ plint ubin teralux marmer ukuran 10cm x 30cm</t>
  </si>
  <si>
    <t>Plint ubin teralux marmer ukuran 10cm x 30cm</t>
  </si>
  <si>
    <t>A.4.4.3.31</t>
  </si>
  <si>
    <t>Pemasangan 1m2 lantai teraso cor di tempat, tebal 3cm</t>
  </si>
  <si>
    <t>Teraso cor di tempat, tebal 3cm</t>
  </si>
  <si>
    <t>Semen warna</t>
  </si>
  <si>
    <t>A.4.4.3.32</t>
  </si>
  <si>
    <t>Pemasangan 1m2 lantai keramik artistik 10cm x 20cm</t>
  </si>
  <si>
    <t>keramik artistik 10cm x 20cm</t>
  </si>
  <si>
    <t>A.4.4.3.33</t>
  </si>
  <si>
    <t>Pemasangan 1m2 lantai keramik artistik 10cm x 10cm atau 5cm x 20cm</t>
  </si>
  <si>
    <t>keramik artistik 10cm x 10cm atau 5cm x 20cm</t>
  </si>
  <si>
    <t>A.4.4.3.34</t>
  </si>
  <si>
    <t>Pemasangan 1m2 lantai keramik ukuran 33cm x 33cm</t>
  </si>
  <si>
    <t>keramik ukuran 33cm x 33cm</t>
  </si>
  <si>
    <t>A.4.4.3.35</t>
  </si>
  <si>
    <t>Pemasangan 1m2 lantai keramik ukuran 30cm x 30cm</t>
  </si>
  <si>
    <t>keramik ukuran 30cm x 30cm</t>
  </si>
  <si>
    <t>A.4.4.3.36</t>
  </si>
  <si>
    <t>Pemasangan 1m2 lantai keramik ukuran 20cm x 20cm</t>
  </si>
  <si>
    <t>Keramik ukuran 20cm x 20cm</t>
  </si>
  <si>
    <t>A.4.4.3.37</t>
  </si>
  <si>
    <t>keramik ukuran 10cm x 33cm untuk variasi/border</t>
  </si>
  <si>
    <t>Ubin keramik</t>
  </si>
  <si>
    <t>A.4.4.3.38</t>
  </si>
  <si>
    <t>Pemasangan 1m2 lantai keramik mozaik ukuran 30cm x 30cm</t>
  </si>
  <si>
    <t>Keramik mozaik ukuran 30cm x 30cm</t>
  </si>
  <si>
    <t>A.4.4.3.39</t>
  </si>
  <si>
    <t>Pemasangan 1 m’ plint keramik ukuran 10cm x 20cm</t>
  </si>
  <si>
    <t>Plint keramik ukuran 10cm x 20cm</t>
  </si>
  <si>
    <t>A.4.4.3.40</t>
  </si>
  <si>
    <t>Pemasangan 1 m’ plint keramik ukuran 10cm x 10cm</t>
  </si>
  <si>
    <t>Plint keramik ukuran 10cm x 10cm</t>
  </si>
  <si>
    <t>A.4.4.3.41</t>
  </si>
  <si>
    <t>Pemasangan 1 m’ plint keramik ukuran 5cm x 20cm</t>
  </si>
  <si>
    <t>Plint keramik ukuran 5cm x 20cm</t>
  </si>
  <si>
    <t>A.4.4.3.42</t>
  </si>
  <si>
    <t>Pemasangan 1 m’ plint internal cove artistik 5cm x 5cm x 20cm</t>
  </si>
  <si>
    <t>Plint internal cove artistik 5cm x 5cm x 20cm</t>
  </si>
  <si>
    <t>A.4.4.3.43</t>
  </si>
  <si>
    <t>Pemasangan 1 m2 lantai marmer ukuran 100cm x 100cm</t>
  </si>
  <si>
    <t>marmer ukuran 100cm x 100cm</t>
  </si>
  <si>
    <t>A.4.4.3.44</t>
  </si>
  <si>
    <t>Pemasangan 1 m2 lantai karpet</t>
  </si>
  <si>
    <t>lantai karpet</t>
  </si>
  <si>
    <t>Lem Kayu/Karet</t>
  </si>
  <si>
    <t>A.4.4.3.45</t>
  </si>
  <si>
    <t>Pemasangan 1 m2 underlayer (pelapis bawah karpet)</t>
  </si>
  <si>
    <t>underlayer (pelapis bawah karpet)</t>
  </si>
  <si>
    <t>A.4.4.3.46</t>
  </si>
  <si>
    <t>Pemasangan 1 m2 lantai parquet kayu</t>
  </si>
  <si>
    <t>Parquet kayu</t>
  </si>
  <si>
    <t>A.4.4.3.47</t>
  </si>
  <si>
    <t>Pemasangan 1 m2 lantai  kayu gymfloor</t>
  </si>
  <si>
    <t>Parquet kayu gymfloor</t>
  </si>
  <si>
    <t>A.4.4.3.48</t>
  </si>
  <si>
    <t>Pemasangan 1 m2 dinding porslen 11cm x 11cm</t>
  </si>
  <si>
    <t>Porselen Dinding 11x11</t>
  </si>
  <si>
    <t>A.4.4.3.49</t>
  </si>
  <si>
    <t>Pemasangan 1 m2 dinding porslen 10cm x 20cm</t>
  </si>
  <si>
    <t>Porselen Dinding 10x20</t>
  </si>
  <si>
    <t>A.4.4.3.50</t>
  </si>
  <si>
    <t>Pemasangan 1 m2 dinding porslen 20cm x 20cm</t>
  </si>
  <si>
    <t>Porselen Dinding 20x20</t>
  </si>
  <si>
    <t>A.4.4.3.51</t>
  </si>
  <si>
    <t>Pemasangan 1 m2 dinding keramik artistik  10cm x 20cm</t>
  </si>
  <si>
    <t>Keramik Dinding artistik</t>
  </si>
  <si>
    <t>A.4.4.3.52</t>
  </si>
  <si>
    <t>Pemasangan 1 m2 dinding keramik artistik  5cm x 20cm</t>
  </si>
  <si>
    <t>keramik Dinding artistik  5cm x 20cm</t>
  </si>
  <si>
    <t>A.4.4.3.53</t>
  </si>
  <si>
    <t>Pemasangan 1 m2 dinding keramik 10cm x 20cm</t>
  </si>
  <si>
    <t>keramik Dinding 10cm x 20cm</t>
  </si>
  <si>
    <t>A.4.4.3.54</t>
  </si>
  <si>
    <t>Pemasangan 1 m2 dinding keramik  20cm x 20cm</t>
  </si>
  <si>
    <t>keramik Dinding 20cm x 20cm</t>
  </si>
  <si>
    <t>A.4.4.3.55</t>
  </si>
  <si>
    <t>Pemasangan 1 m2 dinding marmer 100cm x 100cm</t>
  </si>
  <si>
    <t>marmer Dinding 100cm x 100cm</t>
  </si>
  <si>
    <t>A.4.4.3.56</t>
  </si>
  <si>
    <t>Pemasangan 1 m2 dinding bata pelapis 3cm x 7cm x 24cm</t>
  </si>
  <si>
    <t>Bata pelapis Dinding 3cm x 7cm x 24cm</t>
  </si>
  <si>
    <t>A.4.4.3.57</t>
  </si>
  <si>
    <t>Pemasangan 1 m2 dinding batu paras</t>
  </si>
  <si>
    <t>Batu paras Dinding</t>
  </si>
  <si>
    <t>A.4.4.3.58</t>
  </si>
  <si>
    <t>Pemasangan 1 m2 dinding batu tempel hitam</t>
  </si>
  <si>
    <t>dinding batu tempel hitam</t>
  </si>
  <si>
    <t>A.4.4.3.59</t>
  </si>
  <si>
    <t>Pemasangan 1 m2 lantai vynil ukuran 30cm x 30cm</t>
  </si>
  <si>
    <t>Vynil ukuran 30cm x 30cm</t>
  </si>
  <si>
    <t>A.4.4.3.60</t>
  </si>
  <si>
    <t>Pemasangan 1 m2 wallpaper lebar 50 cm</t>
  </si>
  <si>
    <t>wallpaper lebar 50 cm</t>
  </si>
  <si>
    <t>Lem Putih</t>
  </si>
  <si>
    <t>A.4.4.3.61</t>
  </si>
  <si>
    <t>Pemasangan 1m2 floor harderner</t>
  </si>
  <si>
    <t>floor harderner</t>
  </si>
  <si>
    <t>A.4.4.3.62</t>
  </si>
  <si>
    <t>Pemasangan 1 m’ plint vynil 15cm x 30cm</t>
  </si>
  <si>
    <t>plint vynil 15cm x 30cm</t>
  </si>
  <si>
    <t>A.4.4.3.63</t>
  </si>
  <si>
    <t>Pemasangan 1 m’ plint kayu tebal 2 cm lebar 10 cm</t>
  </si>
  <si>
    <t>Kayu Papan kelas I</t>
  </si>
  <si>
    <t>A.4.4.3.64</t>
  </si>
  <si>
    <t xml:space="preserve">Pemasangan 1 m2 paving block natural tebal 6 cm </t>
  </si>
  <si>
    <t>Paving block 6 cm</t>
  </si>
  <si>
    <r>
      <t>M</t>
    </r>
    <r>
      <rPr>
        <vertAlign val="superscript"/>
        <sz val="10"/>
        <color rgb="FF000000"/>
        <rFont val="Arial"/>
        <family val="2"/>
      </rPr>
      <t>2</t>
    </r>
  </si>
  <si>
    <r>
      <t>M</t>
    </r>
    <r>
      <rPr>
        <vertAlign val="superscript"/>
        <sz val="10"/>
        <color rgb="FF000000"/>
        <rFont val="Arial"/>
        <family val="2"/>
      </rPr>
      <t>3</t>
    </r>
  </si>
  <si>
    <t>Peralatan Kerja Paving Blok</t>
  </si>
  <si>
    <t>%</t>
  </si>
  <si>
    <t>A.4.4.3.65</t>
  </si>
  <si>
    <t xml:space="preserve">Pemasangan 1 m2 paving block natural tebal 8 cm </t>
  </si>
  <si>
    <t>Paving block 8 cm natural</t>
  </si>
  <si>
    <t>A.4.4.3.66</t>
  </si>
  <si>
    <t>Pemasangan 1 m2 paving block berwarna tebal 6 cm</t>
  </si>
  <si>
    <t>Paving block 6cm berwarna</t>
  </si>
  <si>
    <t>A.4.4.3.67</t>
  </si>
  <si>
    <t xml:space="preserve">Pemasangan 1 m2 paving block berwarna tebal 8 cm </t>
  </si>
  <si>
    <t>Paving block  8 cm berwarna</t>
  </si>
  <si>
    <t>A.4.4.3.68</t>
  </si>
  <si>
    <t>Pemasangan 1 M2 Aluminium Composite Panel</t>
  </si>
  <si>
    <t>Aluminium Composite Panel</t>
  </si>
  <si>
    <t>Screw</t>
  </si>
  <si>
    <t xml:space="preserve">A.4.5.1  </t>
  </si>
  <si>
    <t>HARGA SATUAN PEKERJAAN LANGIT-LANGIT (PLAFOND)</t>
  </si>
  <si>
    <t>A.4.5.1.1</t>
  </si>
  <si>
    <t>Pemasangan 1 m2 langit-langit asbes semen, tebal  4 mm, 5 mm, dan 6 mm</t>
  </si>
  <si>
    <t>Asbes  semen</t>
  </si>
  <si>
    <t>Paku tripleks</t>
  </si>
  <si>
    <t>A.4.5.1.2</t>
  </si>
  <si>
    <t>Pemasangan 1 m2 langit-langit akustik  ukuran (30 x 30) cm</t>
  </si>
  <si>
    <t>Akustik ukuran 30 x 30 cm</t>
  </si>
  <si>
    <t>A.4.5.1.3</t>
  </si>
  <si>
    <t>Pemasangan 1 m2 langit-langit akustik  ukuran (30 x 60) cm</t>
  </si>
  <si>
    <t>Akustik ukuran 30 x 60 cm</t>
  </si>
  <si>
    <t>A.4.5.1.4</t>
  </si>
  <si>
    <t>Pemasangan 1 m2 langit-langit akustik  ukuran (60 x 120) cm</t>
  </si>
  <si>
    <t>Akustik 60 x 120</t>
  </si>
  <si>
    <t>A.4.5.1.5</t>
  </si>
  <si>
    <t>Pemasangan 1 m2  langit-langit tripleks ukuran (120 x 240) cm, tebal 3 mm, 4 mm &amp; 6</t>
  </si>
  <si>
    <t>Tripleks</t>
  </si>
  <si>
    <t>A.4.5.1.6</t>
  </si>
  <si>
    <t>Pemasangan 1 m2 langit-langit lambrisering kayu, tebal 9 mm</t>
  </si>
  <si>
    <t>Kayu papan</t>
  </si>
  <si>
    <t>A.4.5.1.7</t>
  </si>
  <si>
    <t>Pemasangan 1 m2 langit-langit gypsum board ukuran (120x240x9) mm, tebal 9 mm</t>
  </si>
  <si>
    <t>Gypsum board 9 mm (1200 x 2400 mm)</t>
  </si>
  <si>
    <t>A.4.5.1.8</t>
  </si>
  <si>
    <t>Pemasangan 1  m2   langit-langit  akustik  ukuran (60  x 120)  cm berikut  rangka alluminium</t>
  </si>
  <si>
    <t>Profil Allum"T"</t>
  </si>
  <si>
    <t>Kawat dia 4 mm</t>
  </si>
  <si>
    <t>Ramset</t>
  </si>
  <si>
    <t>A.4.5.1.9</t>
  </si>
  <si>
    <t>Pemasangan 1 m’ list langit-langit kayu profil</t>
  </si>
  <si>
    <t>List kayu profil</t>
  </si>
  <si>
    <t>A.4.5.1.10</t>
  </si>
  <si>
    <t>Pemasangan 1 m2 Plafond PVC</t>
  </si>
  <si>
    <t>Plafond  PVC (setara Shunda Plafon, Flat Gloss Half Silver)</t>
  </si>
  <si>
    <t xml:space="preserve">A.4.5.2. </t>
  </si>
  <si>
    <t>HARGA SATUAN PEKERJAAN PENUTUP ATAP</t>
  </si>
  <si>
    <t>A.4.5.2.1</t>
  </si>
  <si>
    <t>Pemasangan 1 m2 atap genteng palentong kecil</t>
  </si>
  <si>
    <t>Genteng palentong</t>
  </si>
  <si>
    <t>A.4.5.2.2</t>
  </si>
  <si>
    <t>Pemasangan 1 m2 atap genteng kodok glazuur</t>
  </si>
  <si>
    <t>Genteng kodok</t>
  </si>
  <si>
    <t>A.4.5.2.3</t>
  </si>
  <si>
    <t>Pemasangan 1 m2 atap genteng palentong besar/super</t>
  </si>
  <si>
    <t>A.4.5.2.4</t>
  </si>
  <si>
    <t>Pemasangan 1 m’ bubung genteng  palentong</t>
  </si>
  <si>
    <t>Genteng bubung</t>
  </si>
  <si>
    <t>A.4.5.2.5</t>
  </si>
  <si>
    <t>Pemasangan 1 m’  bubung genteng kodok glazuur</t>
  </si>
  <si>
    <t>A.4.5.2.6</t>
  </si>
  <si>
    <t>Pemasangan 1 m’  bubung genteng palentong besar</t>
  </si>
  <si>
    <t>A.4.5.2.7</t>
  </si>
  <si>
    <t>Pemasangan 1 m2  roof light fibreglass 90x180</t>
  </si>
  <si>
    <t>Rooflight 90x180</t>
  </si>
  <si>
    <t>A.4.5.2.8</t>
  </si>
  <si>
    <t>Pemasangan 1 m2  atap asbes gelombang  0,92mx2,5m x 5mm</t>
  </si>
  <si>
    <t>Asbes gelombang 92x250</t>
  </si>
  <si>
    <t>Paku pancing 6x23</t>
  </si>
  <si>
    <t>A.4.5.2.9</t>
  </si>
  <si>
    <t>Pemasangan 1 m2  atap asbes gelombang  0,92mx2,25m x 5mm</t>
  </si>
  <si>
    <t>A.4.5.2.10</t>
  </si>
  <si>
    <t>Pemasangan 1 m2  atap asbes gelombang  0,92mx2,00m x 5mm</t>
  </si>
  <si>
    <t>A.4.5.2.11</t>
  </si>
  <si>
    <t>Pemasangan 1 m2  atap asbes gelombang  0,92mx1.80m x 5mm</t>
  </si>
  <si>
    <t>A.4.5.2.12</t>
  </si>
  <si>
    <t>Pemasangan 1 m2  atap asbes gelombang  1.05mx3.00m x 4mm</t>
  </si>
  <si>
    <t>A.4.5.2.13</t>
  </si>
  <si>
    <t>Pemasangan 1 m2  atap asbes gelombang  1.05mx2.70m x 4mm</t>
  </si>
  <si>
    <t>A.4.5.2.14</t>
  </si>
  <si>
    <t>Pemasangan 1 m2  atap asbes gelombang  1.05mx2.40m x 4mm</t>
  </si>
  <si>
    <t>A.4.5.2.15</t>
  </si>
  <si>
    <t>Pemasangan 1 m2  atap asbes gelombang  1.05mx2.10m x 4mm</t>
  </si>
  <si>
    <t>A.4.5.2.16</t>
  </si>
  <si>
    <t>Pemasangan 1 m2   atap asbes gelombang  1.05mx1.50m x 4mm</t>
  </si>
  <si>
    <t>A.4.5.2.17</t>
  </si>
  <si>
    <t>Pemasangan 1 m2   atap asbes gelombang  1.08mx3.00m x 6mm</t>
  </si>
  <si>
    <t>A.4.5.2.18</t>
  </si>
  <si>
    <t>Pemasangan 1 m2   atap asbes gelombang  1.08mx2.70m x 6mm</t>
  </si>
  <si>
    <t>A.4.5.2.19</t>
  </si>
  <si>
    <t>Pemasangan 1 m2   atap asbes gelombang  1.08mx2.40m x 6mm</t>
  </si>
  <si>
    <t>A.4.5.2.20</t>
  </si>
  <si>
    <t>Pemasangan 1 m2   atap asbes gelombang  1.08mx2.10m x 6mm</t>
  </si>
  <si>
    <t>A.4.5.2.21</t>
  </si>
  <si>
    <t>Pemasangan 1 m2   atap asbes gelombang  1.08mx1.80m x 6mm</t>
  </si>
  <si>
    <t>A.4.5.2.22</t>
  </si>
  <si>
    <t>Pemasangan 1 m’  bubung stel  gelombang  0,92m</t>
  </si>
  <si>
    <t>Bubung stel gel.</t>
  </si>
  <si>
    <t>A.4.5.2.23</t>
  </si>
  <si>
    <t>Pemasangan 1 m’  bubung stel  gelombang  1,05m</t>
  </si>
  <si>
    <t>A.4.5.2.24</t>
  </si>
  <si>
    <t>Pemasangan 1 m’  bubung stel  gelombang  1,08m</t>
  </si>
  <si>
    <t>A.4.5.2.25</t>
  </si>
  <si>
    <t>Pemasangan 1 m’ nok paten 0,92m</t>
  </si>
  <si>
    <t>Nok paten 92cm</t>
  </si>
  <si>
    <t>A.4.5.2.26</t>
  </si>
  <si>
    <t>Pemasangan 1 m’ nok paten 1,05m</t>
  </si>
  <si>
    <t>A.4.5.2.27</t>
  </si>
  <si>
    <t>Pemasangan 1 m’ nok paten 1,08m</t>
  </si>
  <si>
    <t>A.4.5.2.28</t>
  </si>
  <si>
    <t>Pemasangan 1 m’ nok stel rata 0,92m</t>
  </si>
  <si>
    <t>A.4.5.2.29</t>
  </si>
  <si>
    <t>Pemasangan 1 m’ nok stel rata 1,05m</t>
  </si>
  <si>
    <t>A.4.5.2.30</t>
  </si>
  <si>
    <t>Pemasangan 1 m2 genteng beton</t>
  </si>
  <si>
    <t>Genteng beton</t>
  </si>
  <si>
    <t>A.4.5.2.31</t>
  </si>
  <si>
    <t>Pemasangan 1 m2 genteng aspal</t>
  </si>
  <si>
    <t>Genteng aspal</t>
  </si>
  <si>
    <t>Plywood 6 mm</t>
  </si>
  <si>
    <t>Plastic aerator</t>
  </si>
  <si>
    <t>A.4.5.2.32</t>
  </si>
  <si>
    <t xml:space="preserve">Pemasangan 1 m2 genteng metal ukuran 80 x 100 atap pelana </t>
  </si>
  <si>
    <t>Genteng metal</t>
  </si>
  <si>
    <t>Paku biasa ½”-1”</t>
  </si>
  <si>
    <t>A.4.5.2.33</t>
  </si>
  <si>
    <t>Pemasangan 1 m2 genteng metal ukuran 80 x 100 atap Jurai</t>
  </si>
  <si>
    <t>A.4.5.2.34</t>
  </si>
  <si>
    <t>Pemasangan 1 m2 atap sirap kayu</t>
  </si>
  <si>
    <t>Sirap kayu</t>
  </si>
  <si>
    <t>A.4.5.2.35</t>
  </si>
  <si>
    <t>Pemasangan 1 m’ nok genteng beton</t>
  </si>
  <si>
    <t>Nok genteng beton</t>
  </si>
  <si>
    <t>A.4.5.2.36</t>
  </si>
  <si>
    <t>Pemasangan 1 m’ nok genteng aspal</t>
  </si>
  <si>
    <t>Nok genteng aspal</t>
  </si>
  <si>
    <t>Kayu balok borneo</t>
  </si>
  <si>
    <t>A.4.5.2.37</t>
  </si>
  <si>
    <t>Pemasangan 1 m’ nok genteng metal</t>
  </si>
  <si>
    <t>Nok genteng metal</t>
  </si>
  <si>
    <t>A.4.5.2.38</t>
  </si>
  <si>
    <t>Pemasangan 1 m’ nok sirap</t>
  </si>
  <si>
    <t>A.4.5.2.39</t>
  </si>
  <si>
    <t>Pemasangan 1 m2 atap seng gelombang</t>
  </si>
  <si>
    <t>A.4.5.2.40</t>
  </si>
  <si>
    <t>Pemasangan 1 m’nok atap seng</t>
  </si>
  <si>
    <t>A.4.5.2.41</t>
  </si>
  <si>
    <t>Pemasangan 1 m2 atap alumunium</t>
  </si>
  <si>
    <t>Alumunium gel  tbl 0,55</t>
  </si>
  <si>
    <t>Paku hak panj 15cm</t>
  </si>
  <si>
    <t>A.4.5.2.42</t>
  </si>
  <si>
    <t>Pemasangan 1 m’ nok alumunium</t>
  </si>
  <si>
    <t>Nok standar 40x18</t>
  </si>
  <si>
    <t>A.4.5.2.43</t>
  </si>
  <si>
    <t>Pemasangan 1 m2 alumunium foil/sisalation</t>
  </si>
  <si>
    <t>Alumunium foil</t>
  </si>
  <si>
    <t xml:space="preserve">A.4.6.1 </t>
  </si>
  <si>
    <t>HARGA SATUAN PEKERJAAN KAYU</t>
  </si>
  <si>
    <t>A.4.6.1.1</t>
  </si>
  <si>
    <t>Pembuatan dan pemasangan 1 m3 kusen pintu dan kusen jendela, kayu kelas I</t>
  </si>
  <si>
    <t>A.4.6.1.2</t>
  </si>
  <si>
    <t>Pembuatan dan pemasangan 1 m3 kusen pintu dan kusen jendela, kayu kelas II atau III</t>
  </si>
  <si>
    <t>A.4.6.1.3</t>
  </si>
  <si>
    <t>Pembuatan dan pemasangan 1 m2 pintu klamp standar, kayu kelas II</t>
  </si>
  <si>
    <t>kayu Papan</t>
  </si>
  <si>
    <t>A.4.6.1.4</t>
  </si>
  <si>
    <t>Pembuatan dan pemasangan 1 m2 pintu klamp sederhana, kayu kelas III</t>
  </si>
  <si>
    <t>A.4.6.1.5</t>
  </si>
  <si>
    <t>Pembuatan dan pemasangan 1 m2 daun pintu panel, kayu kelas I atau II</t>
  </si>
  <si>
    <t>A.4.6.1.6</t>
  </si>
  <si>
    <t>Pembuatan dan pemasangan 1 m2 pintu  dan jendela kaca, kayu kelas I atau II</t>
  </si>
  <si>
    <t>A.4.6.1.7</t>
  </si>
  <si>
    <t>Pembuatan dan pemasangan 1 m2 pintu dan jendela jalusi kayu kelas I atau II</t>
  </si>
  <si>
    <t>A.4.6.1.8</t>
  </si>
  <si>
    <t>Pembuatan 1 m2 daun pintu plywood  rangkap, rangka kayu kelas II tertutup</t>
  </si>
  <si>
    <t>A.4.6.1.9</t>
  </si>
  <si>
    <t>Pembuatan 1 m2 pintu plywood  rangkap, rangka expose kayu kelas I atau II</t>
  </si>
  <si>
    <t>A.4.6.1.10</t>
  </si>
  <si>
    <t>Pemasangan 1 m2 jalusi kusen, kayu kelas I atau II</t>
  </si>
  <si>
    <t>Kayu Papan</t>
  </si>
  <si>
    <t>A.4.6.1.11</t>
  </si>
  <si>
    <t>Pemasangan 1 m2 teakwood rangkap, rangka expose kayu kelas I</t>
  </si>
  <si>
    <t>Teakwood 4 mm 90 x 220 cm</t>
  </si>
  <si>
    <t>A.4.6.1.12</t>
  </si>
  <si>
    <t>Pemasangan 1 m2 teakwood rangkap lapis formika, rangka expose kayu kelas II</t>
  </si>
  <si>
    <t>Formika</t>
  </si>
  <si>
    <t>A.4.6.1.13</t>
  </si>
  <si>
    <t>Pemasangan 1 m3 konstruksi kuda-kuda konvensional, kayu kelas I, II dan III bentang 6 meter</t>
  </si>
  <si>
    <t>A.4.6.1.14</t>
  </si>
  <si>
    <t>Pemasangan 1 m3 konstruksi kuda-kuda expose, kayu kelas I</t>
  </si>
  <si>
    <t>A.4.6.1.15</t>
  </si>
  <si>
    <t>Pemasangan 1 m3 konstruksi gordeng, kayu kelas II</t>
  </si>
  <si>
    <t>0,335</t>
  </si>
  <si>
    <t>A.4.6.1.16</t>
  </si>
  <si>
    <t>Pemasangan 1 m2 rangka atap genteng keramik, kayu kelas II</t>
  </si>
  <si>
    <t>Reng 2 x 3 cm</t>
  </si>
  <si>
    <t>A.4.6.1.17</t>
  </si>
  <si>
    <t>Pemasangan 1 m2 rangka atap genteng beton, kayu kelas II</t>
  </si>
  <si>
    <t>Reng (3 x 4) cm</t>
  </si>
  <si>
    <t>A.4.6.1.18</t>
  </si>
  <si>
    <t>Pemasangan 1 m2 rangka atap sirap,  kayu  kelas II</t>
  </si>
  <si>
    <t>Kayu kelas II</t>
  </si>
  <si>
    <t>A.4.6.1.19</t>
  </si>
  <si>
    <t xml:space="preserve">Pemasangan 1 m2 rangka langit-langit (50 x 100) cm,  kayu  kelas II atau III </t>
  </si>
  <si>
    <t>A.4.6.1.20</t>
  </si>
  <si>
    <t xml:space="preserve">Pemasangan 1 m2 rangka langit-langit (60 x 60) cm,  kayu  kelas II  atau III </t>
  </si>
  <si>
    <t>A.4.6.1.21</t>
  </si>
  <si>
    <t>Pemasangan 1 m’  lisplank ukuran (3 x 20) cm, kayu kelas I atau kelas II</t>
  </si>
  <si>
    <t>A.4.6.1.22</t>
  </si>
  <si>
    <t>Pemasangan 1 m’  lisplank ukuran (3 x 30) cm, kayu kelas I atau kelas II</t>
  </si>
  <si>
    <t>A.4.6.1.23</t>
  </si>
  <si>
    <t>Pemasangan 1 m2 rangka dinding pemisah  (60 x 120) cm kayu kelas II atau III</t>
  </si>
  <si>
    <t>A.4.6.1.24</t>
  </si>
  <si>
    <t>Pemasangan 1 m2 dinding pemisah teakwood rangkap, rangka kayu kelas II</t>
  </si>
  <si>
    <t>Balok kayu, 6 x 12</t>
  </si>
  <si>
    <t>Teakwood 4 mm, 120 x 240</t>
  </si>
  <si>
    <t>A.4.6.1.25</t>
  </si>
  <si>
    <t>Pemasangan 1 m2 dinding pemisah plywood rangkap, rangka kayu kelas II</t>
  </si>
  <si>
    <t>A.4.6.1.26</t>
  </si>
  <si>
    <t>Pemasangan 1 m2 dinding lambrisering dari Kayu Papan kelas I</t>
  </si>
  <si>
    <t>A.4.6.1.27</t>
  </si>
  <si>
    <t>Pemasangan 1 m2 dinding lambrisering dari plywood ukuran (120 x 240) cm</t>
  </si>
  <si>
    <t>A.4.6.1.28</t>
  </si>
  <si>
    <t>Pemasangan 1 m2 dinding bilik, rangka kayu kelas III atau IV</t>
  </si>
  <si>
    <t>Bilik bambu</t>
  </si>
  <si>
    <t>List kayu 2/4</t>
  </si>
  <si>
    <t xml:space="preserve">A.4.6.2 </t>
  </si>
  <si>
    <t>HARGA SATUAN PEKERJAAN KUNCI DAN KACA</t>
  </si>
  <si>
    <t>A.4.6.2.1</t>
  </si>
  <si>
    <t>Pemasangan 1 buah kunci tanam antik</t>
  </si>
  <si>
    <t>Kunci tanam antik</t>
  </si>
  <si>
    <t>A.4.6.2.2</t>
  </si>
  <si>
    <t>Pemasangan 1 buah kunci tanam biasa</t>
  </si>
  <si>
    <t>Kunci tanam biasa</t>
  </si>
  <si>
    <t>A.4.6.2.3</t>
  </si>
  <si>
    <t>Pemasangan 1 buah kunci kamar mandi</t>
  </si>
  <si>
    <t>Kunci tanam KM</t>
  </si>
  <si>
    <t>A.4.6.2.4</t>
  </si>
  <si>
    <t>Pemasangan 1 buah kunci silinder</t>
  </si>
  <si>
    <t>Kunci silinder</t>
  </si>
  <si>
    <t>A.4.6.2.5</t>
  </si>
  <si>
    <t>Pemasangan 1 buah engsel pintu</t>
  </si>
  <si>
    <t>Engsel pintu</t>
  </si>
  <si>
    <t>A.4.6.2.6</t>
  </si>
  <si>
    <t>Pemasangan 1 buah engsel jendela kupu-kupu</t>
  </si>
  <si>
    <t>Engsel kupu-kupu</t>
  </si>
  <si>
    <t>A.4.6.2.7</t>
  </si>
  <si>
    <t>Pemasangan 1 buah engsel angin</t>
  </si>
  <si>
    <t>Engsel angin</t>
  </si>
  <si>
    <t>A.4.6.2.8</t>
  </si>
  <si>
    <t>Pemasangan 1 buah spring knip</t>
  </si>
  <si>
    <t>Spring knip</t>
  </si>
  <si>
    <t>A.4.6.2.9</t>
  </si>
  <si>
    <t>Pemasangan 1 buah kait angin</t>
  </si>
  <si>
    <t>Kait angin</t>
  </si>
  <si>
    <t>A.4.6.2.10</t>
  </si>
  <si>
    <t>Pemasangan 1 buah door closer</t>
  </si>
  <si>
    <t>Door closer</t>
  </si>
  <si>
    <t>set</t>
  </si>
  <si>
    <t>A.4.6.2.11</t>
  </si>
  <si>
    <t>Pemasangan 1 buah kunci slot</t>
  </si>
  <si>
    <t>Kunci slot</t>
  </si>
  <si>
    <t>A.4.6.2.12</t>
  </si>
  <si>
    <t>Pemasangan 1 buah Door holder</t>
  </si>
  <si>
    <t>Door holder</t>
  </si>
  <si>
    <t>A.4.6.2.13</t>
  </si>
  <si>
    <t>Pemasangan 1 buah door stop</t>
  </si>
  <si>
    <t>Door stop</t>
  </si>
  <si>
    <t>A.4.6.2.14</t>
  </si>
  <si>
    <t>Pemasangan 1 buah Rrel pintu sorong</t>
  </si>
  <si>
    <t>Rel pintu sorong</t>
  </si>
  <si>
    <t>Set</t>
  </si>
  <si>
    <t>A.4.6.2.15</t>
  </si>
  <si>
    <t>Pemasangan 1 buah kunci lemari</t>
  </si>
  <si>
    <t>Kunci lemari</t>
  </si>
  <si>
    <t>A.4.6.2.16</t>
  </si>
  <si>
    <t>Pemasangan 1 m2 kaca tebal 3 mm</t>
  </si>
  <si>
    <t>Kaca tebal 3mm</t>
  </si>
  <si>
    <t>SEalant</t>
  </si>
  <si>
    <t>A.4.6.2.17</t>
  </si>
  <si>
    <t>Pemasangan 1 m2 kaca tebal 5 mm</t>
  </si>
  <si>
    <t>Kaca tebal 5 mm</t>
  </si>
  <si>
    <t>A.4.6.2.18</t>
  </si>
  <si>
    <t>Pemasangan 1 m2 kaca tebal 8 mm</t>
  </si>
  <si>
    <t>Kaca tebal 8 mm</t>
  </si>
  <si>
    <t>A.4.6.2.19</t>
  </si>
  <si>
    <t>Pemasangan 1 m2 kaca buram tebal 12 mm</t>
  </si>
  <si>
    <t>Kaca buram  12 mm</t>
  </si>
  <si>
    <t>A.4.6.2.20</t>
  </si>
  <si>
    <t>Pemasangan 1 m2 kaca cermin tebal 5 mm</t>
  </si>
  <si>
    <t>Kaca cermin 5 mm</t>
  </si>
  <si>
    <t>A.4.6.2.21</t>
  </si>
  <si>
    <t>Pemasangan 1 m2 kaca cermin tebal 8 mm</t>
  </si>
  <si>
    <t>Kaca cermin 8 mm</t>
  </si>
  <si>
    <t>A.4.6.2.22</t>
  </si>
  <si>
    <t>Pemasangan 1 m2 kaca wireglassed tebal 5 mm</t>
  </si>
  <si>
    <t>Kaca   wireglassed 5mm</t>
  </si>
  <si>
    <t>A.4.6.2.23</t>
  </si>
  <si>
    <t>Pemasangan 1 m2 kaca patri tebal 5 mm</t>
  </si>
  <si>
    <t>Kaca patri 5mm</t>
  </si>
  <si>
    <t xml:space="preserve">A.4.7.1 </t>
  </si>
  <si>
    <t>HARGA SATUAN PEKERJAAN PENGECATAN</t>
  </si>
  <si>
    <t>A.4.7.1.1</t>
  </si>
  <si>
    <t>1 m2 Pengikisan/pengerokan permukaan cat lama</t>
  </si>
  <si>
    <t>Soda api</t>
  </si>
  <si>
    <t>A.4.7.1.2</t>
  </si>
  <si>
    <t xml:space="preserve"> 1 m2 Pencucian bidang  permukaan tembok yang pernah dicat</t>
  </si>
  <si>
    <t>Sabun</t>
  </si>
  <si>
    <t>A.4.7.1.3</t>
  </si>
  <si>
    <t xml:space="preserve"> 1 m2  Pengerokan karat pada permukaan baja cara manual</t>
  </si>
  <si>
    <t>A.4.7.1.4</t>
  </si>
  <si>
    <t>1 m2  Pengecatan bidang kayu baru (1 lapis plamuur, 1 lapis cat dasar, 2 lapis cat penutup)</t>
  </si>
  <si>
    <t>Tukang cat</t>
  </si>
  <si>
    <t>L.02.08</t>
  </si>
  <si>
    <t>Cat menie</t>
  </si>
  <si>
    <t>Plamuur</t>
  </si>
  <si>
    <t>Cat dasar Kayu</t>
  </si>
  <si>
    <t>Cat Penutup Kayu</t>
  </si>
  <si>
    <t>Kuas</t>
  </si>
  <si>
    <t>Pengencer</t>
  </si>
  <si>
    <t>Ampelas</t>
  </si>
  <si>
    <t>A.4.7.1.5</t>
  </si>
  <si>
    <t>Pengecatan 1 m2  bidang kayu baru (1 lapis plamuur, 1 lapis cat dasar, 3 lapis cat Penutup)</t>
  </si>
  <si>
    <t>A.4.7.1.6</t>
  </si>
  <si>
    <t>Pelaburan 1 m2 bidang kayu dengan teak oil</t>
  </si>
  <si>
    <t>Teak oil</t>
  </si>
  <si>
    <t>A.4.7.1.7</t>
  </si>
  <si>
    <t>Pelaburan 1 m2 bidang kayu dengan politur</t>
  </si>
  <si>
    <t>Politur</t>
  </si>
  <si>
    <t>Politur jadi</t>
  </si>
  <si>
    <t>A.4.7.1.8</t>
  </si>
  <si>
    <t>Pelaburan 1 m2 bidang kayu dengan cat residu dan ter</t>
  </si>
  <si>
    <t>Residu atau ter</t>
  </si>
  <si>
    <t>A.4.7.1.9</t>
  </si>
  <si>
    <t>Pelaburan 1 m2 bidang kayu dengan vernis</t>
  </si>
  <si>
    <t>Vernis</t>
  </si>
  <si>
    <t>Dempul</t>
  </si>
  <si>
    <t>A.4.7.1.10</t>
  </si>
  <si>
    <t>Pengecatan 1 m2   tembok baru ( 1lapis plamuur, 1 lapis cat dasar, 2 lapis cat penutup)</t>
  </si>
  <si>
    <t>Cat dasar Tembok</t>
  </si>
  <si>
    <t>Cat Penutup Tembok</t>
  </si>
  <si>
    <t>A.4.7.1.11</t>
  </si>
  <si>
    <t>Pengecatan 1 m2 tembok lama ( 1 lapis cat dasar, 2 lapis cat penutup)</t>
  </si>
  <si>
    <t>A.4.7.1.12</t>
  </si>
  <si>
    <t>Pelaburan 1 m2 tembok dengan kalkarium</t>
  </si>
  <si>
    <t>Kalkarium</t>
  </si>
  <si>
    <t>A.4.7.1.13</t>
  </si>
  <si>
    <t>Pelaburan 1 m2 tembok dengan kapur sirih</t>
  </si>
  <si>
    <t>Kapur sirih</t>
  </si>
  <si>
    <t>Alang-alang</t>
  </si>
  <si>
    <t>Ikat</t>
  </si>
  <si>
    <t>A.4.7.1.14</t>
  </si>
  <si>
    <t>Pelaburan 1 m2 tembok lama dengan kapur sirih (pemeliharaan)</t>
  </si>
  <si>
    <t>A.4.7.1.15</t>
  </si>
  <si>
    <t>Pemasangan 1 m2 wallpaper</t>
  </si>
  <si>
    <t>Wallpaper</t>
  </si>
  <si>
    <t>A.4.7.1.16</t>
  </si>
  <si>
    <t>Pengecatan 1 m2 permukaan baja dengan menie besi</t>
  </si>
  <si>
    <t>Menie besi</t>
  </si>
  <si>
    <t>A.4.7.1.17</t>
  </si>
  <si>
    <t>Pengecatan 1 m2 permukaan baja dengan menie besi dengan perancah</t>
  </si>
  <si>
    <t>Perancah kayu</t>
  </si>
  <si>
    <t>A.4.7.1.18</t>
  </si>
  <si>
    <t>Pengecatan 1 m2 permukaan baja galvanis secara manual 4 lapis</t>
  </si>
  <si>
    <t>Menie A</t>
  </si>
  <si>
    <t>Menie B</t>
  </si>
  <si>
    <t>Cat Besi</t>
  </si>
  <si>
    <t>A.4.7.1.19</t>
  </si>
  <si>
    <t>Pengecatan 1 m2   permukaan baja galvanis secara manual sistem 1 lapis cat mutakhir</t>
  </si>
  <si>
    <t>A.4.7.1.20</t>
  </si>
  <si>
    <t>Pengecatan 1 m2 permukaan baja galvanis secara manual sistem 3 lapis</t>
  </si>
  <si>
    <t>Cat dasar Besi</t>
  </si>
  <si>
    <t>Cat antara</t>
  </si>
  <si>
    <t>A.4.7.1.21</t>
  </si>
  <si>
    <t>Pengecatan 1 m2   permukaan baja galvanis secara semprot sistem 3 lapis cat mutakhir</t>
  </si>
  <si>
    <t>A.4.7.1.22</t>
  </si>
  <si>
    <t xml:space="preserve">Plituran 10 m2 dengan plitur melamic </t>
  </si>
  <si>
    <t>Cat Dasar Kayu</t>
  </si>
  <si>
    <t xml:space="preserve">A.5.1.1 </t>
  </si>
  <si>
    <t>HARGA SATUAN PEKERJAAN SANITASI DALAM GEDUNG</t>
  </si>
  <si>
    <t>A.5.1.1.1</t>
  </si>
  <si>
    <t>(K3) Pemasangan 1 buah closet duduk/monoblock</t>
  </si>
  <si>
    <t>Closet duduk</t>
  </si>
  <si>
    <t>Unit</t>
  </si>
  <si>
    <t>Perlengkapan</t>
  </si>
  <si>
    <t>A.5.1.1.2</t>
  </si>
  <si>
    <t>Pemasangan 1 buah closet jongkok porslen</t>
  </si>
  <si>
    <t>Closet jongkok</t>
  </si>
  <si>
    <t>A.5.1.1.3</t>
  </si>
  <si>
    <t>Pemasangan 1 buah closet jongkok teraso</t>
  </si>
  <si>
    <t>A.5.1.1.4</t>
  </si>
  <si>
    <t>(K3) Pemasangan 1 buah urinoir</t>
  </si>
  <si>
    <t>Urinoir</t>
  </si>
  <si>
    <t>A.5.1.1.5</t>
  </si>
  <si>
    <t>(K3) Pemasangan 1 buah wastafel</t>
  </si>
  <si>
    <t>Wastafel</t>
  </si>
  <si>
    <t>A.5.1.1.6</t>
  </si>
  <si>
    <t>(K3) Pemasangan 1 buah bathcuip porselen</t>
  </si>
  <si>
    <t>Bathcuip</t>
  </si>
  <si>
    <t>A.5.1.1.7</t>
  </si>
  <si>
    <t>(K3) Pemasangan 1 buah bak fibreglass vol 1 m3</t>
  </si>
  <si>
    <t>Bak fibreglass</t>
  </si>
  <si>
    <t>A.5.1.1.8</t>
  </si>
  <si>
    <t>(K3) Pemasangan 1 buah bak mandi batu bata vol 0,30 m3</t>
  </si>
  <si>
    <t>Porselen 11x11</t>
  </si>
  <si>
    <t>A.5.1.1.9</t>
  </si>
  <si>
    <t>Pemasangan 1 buah bak mandi teraso vol 0,30 m3</t>
  </si>
  <si>
    <t>A.5.1.1.10</t>
  </si>
  <si>
    <t>Pemasangan 1 buah bak air fibreglass vol 1 m3</t>
  </si>
  <si>
    <t>A.5.1.1.11</t>
  </si>
  <si>
    <t>Pemasangan 1 buah bak beton volume 1 m3</t>
  </si>
  <si>
    <t>Beton 1:2:3</t>
  </si>
  <si>
    <t>Baja tulangan</t>
  </si>
  <si>
    <t>Kayu bekisting</t>
  </si>
  <si>
    <t>Ubin porselen</t>
  </si>
  <si>
    <t>A.5.1.1.12</t>
  </si>
  <si>
    <t>Pemasangan 1 buah bak cuci piring stainlessteel</t>
  </si>
  <si>
    <t>Bak cuci piring</t>
  </si>
  <si>
    <t>Waterdrain</t>
  </si>
  <si>
    <t>A.5.1.1.13</t>
  </si>
  <si>
    <t>Pemasangan 1 buah bak cuci piring teraso</t>
  </si>
  <si>
    <t>A.5.1.1.14</t>
  </si>
  <si>
    <t>Pemasangan 1 buah floor drain</t>
  </si>
  <si>
    <t>Floor drain</t>
  </si>
  <si>
    <t>A.5.1.1.15</t>
  </si>
  <si>
    <t>Pemasangan 1 buah bak kontrol pasangan bata 30x30 tinggi 35 cm</t>
  </si>
  <si>
    <t>A.5.1.1.16</t>
  </si>
  <si>
    <t>Pemasangan 1 buah bak kontrol pasangan bata 45cm x45cm tinggi 50 cm</t>
  </si>
  <si>
    <t>A.5.1.1.17</t>
  </si>
  <si>
    <t>Pemasangan 1 buah bak kontrol pasangan bata 60cm x60cm tinggi 65 cm</t>
  </si>
  <si>
    <t>A.5.1.1.18</t>
  </si>
  <si>
    <t>Pemasangan 1 m’ pipa galvanis diameter ½”</t>
  </si>
  <si>
    <t>Pipa galvanis ½”</t>
  </si>
  <si>
    <t>A.5.1.1.19</t>
  </si>
  <si>
    <t>Pemasangan 1 buah kran diameter ½” atau 3/4”</t>
  </si>
  <si>
    <t>Kran air</t>
  </si>
  <si>
    <t>Sealtape</t>
  </si>
  <si>
    <t>A.5.1.1.20</t>
  </si>
  <si>
    <t>Pemasangan 1 m’ pipa galvanis diameter 3/4”</t>
  </si>
  <si>
    <t>Pipa galvanis 3/4”</t>
  </si>
  <si>
    <t>A.5.1.1.21</t>
  </si>
  <si>
    <t>Pemasangan 1 m’ pipa galvanis diameter 1”</t>
  </si>
  <si>
    <t>Pipa galvanis 1”</t>
  </si>
  <si>
    <t>A.5.1.1.22</t>
  </si>
  <si>
    <t>Pemasangan 1 m’ pipa galvanis diameter 1 ½”</t>
  </si>
  <si>
    <t>Pipa galvanis 11/2”</t>
  </si>
  <si>
    <t>A.5.1.1.23</t>
  </si>
  <si>
    <t>Pemasangan 1 m’ pipa galvanis diameter 3”</t>
  </si>
  <si>
    <t>Pipa galvanis 3”</t>
  </si>
  <si>
    <t>A.5.1.1.24</t>
  </si>
  <si>
    <t>Pemasangan 1 m’ pipa galvanis diameter 4”</t>
  </si>
  <si>
    <t>Pipa galvanis 4”</t>
  </si>
  <si>
    <t>A.5.1.1.25</t>
  </si>
  <si>
    <t>Pemasangan 1 m’ pipa PVC tipe AW diameter 1/2”</t>
  </si>
  <si>
    <t>Pipa PVC 1/2”</t>
  </si>
  <si>
    <t>A.5.1.1.26</t>
  </si>
  <si>
    <t>Pemasangan 1 m’ pipa PVC tipe AW diameter 3/4”</t>
  </si>
  <si>
    <t>Pipa PVC 3/4”</t>
  </si>
  <si>
    <t>A.5.1.1.27</t>
  </si>
  <si>
    <t>Pemasangan 1 m’ pipa PVC tipe AW diameter 1”</t>
  </si>
  <si>
    <t>Pipa PVC 1”</t>
  </si>
  <si>
    <t>A.5.1.1.28</t>
  </si>
  <si>
    <t>Pemasangan 1 m’ pipa PVC tipe AW diameter 11/2”</t>
  </si>
  <si>
    <t>Pipa PVC 11/2”</t>
  </si>
  <si>
    <t>A.5.1.1.29</t>
  </si>
  <si>
    <t>Pemasangan 1 m’ pipa PVC tipe AW diameter 2”</t>
  </si>
  <si>
    <t>Pipa PVC 2”</t>
  </si>
  <si>
    <t>A.5.1.1.30</t>
  </si>
  <si>
    <t>Pemasangan 1 m’ pipa PVC tipe AW diameter 21/2”</t>
  </si>
  <si>
    <t>Pipa PVC 21/2”</t>
  </si>
  <si>
    <t>A.5.1.1.31</t>
  </si>
  <si>
    <t>Pemasangan 1 m’ pipa PVC tipe AW diameter 3”</t>
  </si>
  <si>
    <t>Pipa PVC 3”</t>
  </si>
  <si>
    <t>A.5.1.1.32</t>
  </si>
  <si>
    <t>Pemasangan 1 m’ pipa PVC tipe AW diameter 4”</t>
  </si>
  <si>
    <t>Pipa PVC 4”</t>
  </si>
  <si>
    <t>A.5.1.1.33</t>
  </si>
  <si>
    <t>Pemasangan 1 m’ pipa air limbah jenis pipa tanah</t>
  </si>
  <si>
    <t>Pipa tanah</t>
  </si>
  <si>
    <t>A.5.1.1.34</t>
  </si>
  <si>
    <t>Pemasangan 1 m’ pipa air limbah jenis pipa tanah diameter 15 cm</t>
  </si>
  <si>
    <t>A.5.1.1.35</t>
  </si>
  <si>
    <t>Pemasangan 1 m’ pipa beton diameter 15 - 20 cm</t>
  </si>
  <si>
    <t>Pipa Beton</t>
  </si>
  <si>
    <t>A.5.1.1.36</t>
  </si>
  <si>
    <t>Pemasangan 1 m’ pipa beton diameter 30 - 100 cm</t>
  </si>
  <si>
    <t>Pipa PVC Ø 63 mm</t>
  </si>
  <si>
    <t>Sewa Tripot/Tackel &amp; handle crane 2 T</t>
  </si>
  <si>
    <t>Pipa PVC Ø 90 mm</t>
  </si>
  <si>
    <t>Pipa PVC Ø 110 mm</t>
  </si>
  <si>
    <t>Pipa PVC Ø 150 mm</t>
  </si>
  <si>
    <t>Pipa PVC Ø 200 mm</t>
  </si>
  <si>
    <t>Pipa PVC Ø 250 mm</t>
  </si>
  <si>
    <t>Pipa PVC Ø 300 mm</t>
  </si>
  <si>
    <t>Pipa PVC Ø 400 mm</t>
  </si>
  <si>
    <t>Pipa PVC Ø 450 mm</t>
  </si>
  <si>
    <t>Pipa PVC Ø 500 mm</t>
  </si>
  <si>
    <t>Pipa PVC Ø 600 mm</t>
  </si>
  <si>
    <t>Pipa PVC Ø 800 mm</t>
  </si>
  <si>
    <t>Pipa PVC Ø 900 mm</t>
  </si>
  <si>
    <t>Pipa PVC Ø 1000 mm</t>
  </si>
  <si>
    <t>Pipa PVC Ø 1100 mm</t>
  </si>
  <si>
    <t>Pipa PVC Ø 1200 mm</t>
  </si>
  <si>
    <t>Pipa HDPE Ø 63 mm</t>
  </si>
  <si>
    <t>Pipa HDPE Ø 100 mm</t>
  </si>
  <si>
    <t>Pipa HDPE Ø 125 mm</t>
  </si>
  <si>
    <t>Pipa HDPE Ø 150 mm</t>
  </si>
  <si>
    <t>Pipa HDPE Ø 200 mm</t>
  </si>
  <si>
    <t>Pipa HDPE Ø 250 mm</t>
  </si>
  <si>
    <t>Pipa HDPE Ø 300 mm</t>
  </si>
  <si>
    <t>Pipa HDPE Ø 400 mm</t>
  </si>
  <si>
    <t>Pipa HDPE Ø 450 mm</t>
  </si>
  <si>
    <t>Pipa HDPE Ø 500 mm</t>
  </si>
  <si>
    <t>Pipa HDPE Ø 800 mm</t>
  </si>
  <si>
    <t>Pipa HDPE Ø 900 mm</t>
  </si>
  <si>
    <t>Pipa HDPE Ø 1000 mm</t>
  </si>
  <si>
    <t>Pipa HDPE Ø 1100 mm</t>
  </si>
  <si>
    <t>Pipa HDPE Ø 1200 mm</t>
  </si>
  <si>
    <t>Pipa GIP Ø 63 mm</t>
  </si>
  <si>
    <t>Pipa GIP Ø 100 mm</t>
  </si>
  <si>
    <t>Pipa GIP Ø 125 mm</t>
  </si>
  <si>
    <t>Pipa GIP Ø 150 mm</t>
  </si>
  <si>
    <t>Pipa GIP Ø 200 mm</t>
  </si>
  <si>
    <t>Pipa GIP Ø 250 mm</t>
  </si>
  <si>
    <t>Pipa GIP Ø 300 mm</t>
  </si>
  <si>
    <t>Pipa GIP Ø 400 mm</t>
  </si>
  <si>
    <t>Pipa GIP Ø 450 mm</t>
  </si>
  <si>
    <t>Pipa GIP Ø 500 mm</t>
  </si>
  <si>
    <t>Pipa GIP Ø 600 mm</t>
  </si>
  <si>
    <t>Pipa GIP Ø 800 mm</t>
  </si>
  <si>
    <t>Pipa GIP Ø 900 mm</t>
  </si>
  <si>
    <t>Pipa GIP Ø 1000 mm</t>
  </si>
  <si>
    <t>Pipa GIP Ø 1100 mm</t>
  </si>
  <si>
    <t>Pipa GIP Ø 1200 mm</t>
  </si>
  <si>
    <t>Pipa DCI Ø 100 mm</t>
  </si>
  <si>
    <t>Pipa DCI Ø 125 mm</t>
  </si>
  <si>
    <t>Pipa DCI Ø 150 mm</t>
  </si>
  <si>
    <t>Pipa DCI Ø 200 mm</t>
  </si>
  <si>
    <t>Pipa DCI Ø 250 mm</t>
  </si>
  <si>
    <t>Pipa DCI Ø 300 mm</t>
  </si>
  <si>
    <t>Pipa DCI Ø 400 mm</t>
  </si>
  <si>
    <t>Sewa excavator type 225 kap 0,5 -1,0 m3</t>
  </si>
  <si>
    <t>Pipa DCI Ø 450 mm</t>
  </si>
  <si>
    <t>Pipa DCI Ø 500 mm</t>
  </si>
  <si>
    <t>Pipa DCI Ø 600 mm</t>
  </si>
  <si>
    <t>Pipa DCI Ø 800 mm</t>
  </si>
  <si>
    <t>Pipa DCI Ø 900 mm</t>
  </si>
  <si>
    <t>Pipa DCI Ø 1000 mm</t>
  </si>
  <si>
    <t>Pipa DCI Ø 1100 mm</t>
  </si>
  <si>
    <t>Pipa DCI Ø 1200 mm</t>
  </si>
  <si>
    <t>Pipa Baja Ø 63 mm</t>
  </si>
  <si>
    <t>Pipa Baja Ø 100 mm</t>
  </si>
  <si>
    <t>Pipa Baja Ø 125 mm</t>
  </si>
  <si>
    <t>Pipa Baja Ø 150 mm</t>
  </si>
  <si>
    <t>Pipa Baja Ø 200 mm</t>
  </si>
  <si>
    <t>Pipa Baja Ø 250 mm</t>
  </si>
  <si>
    <t>Pipa Baja Ø 300 mm</t>
  </si>
  <si>
    <t>Pipa Baja Ø 400 mm</t>
  </si>
  <si>
    <t>Pipa Baja Ø 450 mm</t>
  </si>
  <si>
    <t>Pipa Baja Ø 500 mm</t>
  </si>
  <si>
    <t>Pipa Baja Ø 600 mm</t>
  </si>
  <si>
    <t>Pipa Baja Ø 800 mm</t>
  </si>
  <si>
    <t>Pipa Baja Ø 900 mm</t>
  </si>
  <si>
    <t>Pipa Baja Ø 1000 mm</t>
  </si>
  <si>
    <t>Pipa Baja Ø 1100 mm</t>
  </si>
  <si>
    <t>Pipa Baja Ø 1200 mm</t>
  </si>
  <si>
    <t>Peralatan potong pipa T1/manual  (gergaji) /saw</t>
  </si>
  <si>
    <t>Peralatan potong pipa T2/mekanik / cilinder</t>
  </si>
  <si>
    <t>Operator Alat Pipa</t>
  </si>
  <si>
    <t>Pipa HDPE Ø 600 mm</t>
  </si>
  <si>
    <t>Pipa HDPE Ø 1000</t>
  </si>
  <si>
    <t>Pipa HDPE Ø 1100</t>
  </si>
  <si>
    <t>Peralatan potong pipa T2/mekanik / cilinder saw</t>
  </si>
  <si>
    <t>Valve Ø 150 mm</t>
  </si>
  <si>
    <t>Valve Ø 200 mm</t>
  </si>
  <si>
    <t>Valve Ø 250 mm</t>
  </si>
  <si>
    <t>Valve Ø 300 mm</t>
  </si>
  <si>
    <t>Valve Ø 400 mm</t>
  </si>
  <si>
    <t>Valve Ø 450 mm</t>
  </si>
  <si>
    <t>Valve Ø 500 mm</t>
  </si>
  <si>
    <t>Valve Ø 600 mm</t>
  </si>
  <si>
    <t>Mobile crane =&lt; 3 ton</t>
  </si>
  <si>
    <t>Valve Ø 700 mm</t>
  </si>
  <si>
    <t>Valve Ø 800 mm</t>
  </si>
  <si>
    <t>Valve Ø 900 mm</t>
  </si>
  <si>
    <t>Valve Ø 1000 mm</t>
  </si>
  <si>
    <t>Valve Ø 1100 mm</t>
  </si>
  <si>
    <t>Valve Ø 1200 mm</t>
  </si>
  <si>
    <t>Tee Ø 150 mm</t>
  </si>
  <si>
    <t>Tee Ø 200 mm</t>
  </si>
  <si>
    <t>Tee Ø 250 mm</t>
  </si>
  <si>
    <t>Tee Ø 300 mm</t>
  </si>
  <si>
    <t>Tee Ø 400 mm</t>
  </si>
  <si>
    <t>Tee Ø 450 mm</t>
  </si>
  <si>
    <t>Tee Ø 500 mm</t>
  </si>
  <si>
    <t>Tee Ø 600 mm</t>
  </si>
  <si>
    <t>Tee Ø 700 mm</t>
  </si>
  <si>
    <t>Tee Ø 800 mm</t>
  </si>
  <si>
    <t>Tee Ø 900 mm</t>
  </si>
  <si>
    <t>Tee Ø 1000 mm</t>
  </si>
  <si>
    <t>Tee Ø 1100 mm</t>
  </si>
  <si>
    <t>Tee Ø 1200 mm</t>
  </si>
  <si>
    <t>Pipa Ø 80 mm</t>
  </si>
  <si>
    <t>Sewa Genset 1500 watt</t>
  </si>
  <si>
    <t>Sewa Pompa Submersible 3m3/h</t>
  </si>
  <si>
    <t>Pipa Ø 100 mm</t>
  </si>
  <si>
    <t>Pipa Ø 150 mm</t>
  </si>
  <si>
    <t>Pipa Ø 200 mm</t>
  </si>
  <si>
    <t>Pipa Ø 250 mm</t>
  </si>
  <si>
    <t>Pipa Ø 300 mm</t>
  </si>
  <si>
    <t>Pipa Ø 400 mm</t>
  </si>
  <si>
    <t>Pipa Ø 450 mm</t>
  </si>
  <si>
    <t>Pipa Ø 500 mm</t>
  </si>
  <si>
    <t>Pipa Ø 600 mm</t>
  </si>
  <si>
    <t>Pipa Ø 700 mm</t>
  </si>
  <si>
    <t>Pipa Ø 800 mm</t>
  </si>
  <si>
    <t>Air test (air bersih)</t>
  </si>
  <si>
    <t>Bahan bakar</t>
  </si>
  <si>
    <t>liter</t>
  </si>
  <si>
    <t>Oli</t>
  </si>
  <si>
    <t xml:space="preserve">A.8.4.6 </t>
  </si>
  <si>
    <t xml:space="preserve">HARGA SATUAN PEKERJAAN ELEKTRIKAL </t>
  </si>
  <si>
    <t>A.8.4.6.1</t>
  </si>
  <si>
    <t xml:space="preserve">Pipa listrik  5/8” </t>
  </si>
  <si>
    <t>btg</t>
  </si>
  <si>
    <t>Kabel NYM 3x2,5 mm2</t>
  </si>
  <si>
    <t>Tee Doos</t>
  </si>
  <si>
    <t>L.Bow</t>
  </si>
  <si>
    <t>Las Dop</t>
  </si>
  <si>
    <t>Klem Pipa Listrik</t>
  </si>
  <si>
    <t>Mongkok (Listrik)</t>
  </si>
  <si>
    <t>Fitting Lampu</t>
  </si>
  <si>
    <t>A.8.4.6.2</t>
  </si>
  <si>
    <t>Pipa Conduit</t>
  </si>
  <si>
    <t>Socket Pipa</t>
  </si>
  <si>
    <t>Klem Pipa</t>
  </si>
  <si>
    <t>Fhiser</t>
  </si>
  <si>
    <t>Sealtape Listrik</t>
  </si>
  <si>
    <t>Jet Pump</t>
  </si>
  <si>
    <t>Pengeboran</t>
  </si>
  <si>
    <t>Pompa Transfer 200 Lpm ( 3 Lps )</t>
  </si>
  <si>
    <t>Kayu Ulin 10x10</t>
  </si>
  <si>
    <t>Kalang dan sunduk</t>
  </si>
  <si>
    <t>Chopped Strand Mat(CSM)450</t>
  </si>
  <si>
    <t>Wover Roving (WR)600</t>
  </si>
  <si>
    <t>Resin</t>
  </si>
  <si>
    <t>Katalis</t>
  </si>
  <si>
    <t>Pigment White</t>
  </si>
  <si>
    <t>Pigmen Blue</t>
  </si>
  <si>
    <t>Talk</t>
  </si>
  <si>
    <t>Nozzle</t>
  </si>
  <si>
    <t>Kawat BRC galvanis besi 8"</t>
  </si>
  <si>
    <t>Tiang GIP dia. 50 mm ( 2'' )</t>
  </si>
  <si>
    <t>Pekerja Anyam</t>
  </si>
  <si>
    <t>Pekerja Pengisi Batu</t>
  </si>
  <si>
    <t>Tukang Pengayam Bronjong</t>
  </si>
  <si>
    <t>Kawat Galvanis Q 3 mm</t>
  </si>
  <si>
    <t>Bor Master</t>
  </si>
  <si>
    <t>Operator Mesin Bor</t>
  </si>
  <si>
    <t>Air Kerja</t>
  </si>
  <si>
    <t>Bentonite</t>
  </si>
  <si>
    <t>Mesin Horizontal Direct Drilling (HDD)</t>
  </si>
  <si>
    <t>dan mata bor masing masing diameter</t>
  </si>
  <si>
    <t>Mixing Pump</t>
  </si>
  <si>
    <t>Genset</t>
  </si>
  <si>
    <t>Jenis Pekerjaan</t>
  </si>
  <si>
    <t>Harga</t>
  </si>
  <si>
    <t>A.1.1.1</t>
  </si>
  <si>
    <t xml:space="preserve">A.1.5.1 </t>
  </si>
  <si>
    <t>A.3.1.1</t>
  </si>
  <si>
    <t>10 kg</t>
  </si>
  <si>
    <t>titik</t>
  </si>
  <si>
    <t>10 cm</t>
  </si>
  <si>
    <t>10m2</t>
  </si>
  <si>
    <t>HARGA DASAR SATUAN BAHAN</t>
  </si>
  <si>
    <t>No.</t>
  </si>
  <si>
    <t>Bahan</t>
  </si>
  <si>
    <t>Harga Satuan                                                      (Rp.)</t>
  </si>
  <si>
    <t>Keterangan</t>
  </si>
  <si>
    <t>Air Bersih / PDAM</t>
  </si>
  <si>
    <t>Batu gunung</t>
  </si>
  <si>
    <t>Floor harderner</t>
  </si>
  <si>
    <t>zak</t>
  </si>
  <si>
    <t>ALAT SEWA</t>
  </si>
  <si>
    <t>Unit hari</t>
  </si>
  <si>
    <t>Hari</t>
  </si>
  <si>
    <t>Sewa pipe support</t>
  </si>
  <si>
    <t>HARGA DASAR SATUAN UPAH</t>
  </si>
  <si>
    <t>Tenaga Kerja</t>
  </si>
  <si>
    <t>Jam Kerja Eff.</t>
  </si>
  <si>
    <t>L.01</t>
  </si>
  <si>
    <t>L.02</t>
  </si>
  <si>
    <t>Tukang Gali</t>
  </si>
  <si>
    <t>Tukang Cat</t>
  </si>
  <si>
    <t>Tukang Tebas</t>
  </si>
  <si>
    <t>Tukang Vibrator</t>
  </si>
  <si>
    <t>Tukang Ereksi</t>
  </si>
  <si>
    <t>L.03</t>
  </si>
  <si>
    <t>L.04</t>
  </si>
  <si>
    <t>Juru Ukur</t>
  </si>
  <si>
    <t>L.05</t>
  </si>
  <si>
    <t>Pembantu Juru Ukur</t>
  </si>
  <si>
    <t>L.06</t>
  </si>
  <si>
    <t>Ahli Alat Berat ( Mekanik )</t>
  </si>
  <si>
    <t>L.07</t>
  </si>
  <si>
    <t>Operator Alat Berat</t>
  </si>
  <si>
    <t>L.08</t>
  </si>
  <si>
    <t>Pembantu Operator</t>
  </si>
  <si>
    <t>L.09</t>
  </si>
  <si>
    <t>Sopir Truck</t>
  </si>
  <si>
    <t>L.10</t>
  </si>
  <si>
    <t>Kenek Truk</t>
  </si>
  <si>
    <t>L.11</t>
  </si>
  <si>
    <t>Penjaga Malam</t>
  </si>
  <si>
    <t>L.12</t>
  </si>
  <si>
    <t>Juru Gambar (Drafter)</t>
  </si>
  <si>
    <t>L.13</t>
  </si>
  <si>
    <t>Design Engineer</t>
  </si>
  <si>
    <t>L.15</t>
  </si>
  <si>
    <t>Operator Printer/Plotter</t>
  </si>
  <si>
    <t>L.16</t>
  </si>
  <si>
    <r>
      <t xml:space="preserve">Operator </t>
    </r>
    <r>
      <rPr>
        <i/>
        <sz val="10"/>
        <color rgb="FF000000"/>
        <rFont val="Century Gothic"/>
        <family val="2"/>
      </rPr>
      <t>crane</t>
    </r>
  </si>
  <si>
    <r>
      <t xml:space="preserve">Pembantu operator </t>
    </r>
    <r>
      <rPr>
        <i/>
        <sz val="10"/>
        <color rgb="FF000000"/>
        <rFont val="Century Gothic"/>
        <family val="2"/>
      </rPr>
      <t>crane</t>
    </r>
  </si>
  <si>
    <t>Luas total dinding belakang = Luas dinding - Luas lubang</t>
  </si>
  <si>
    <t>Cor Beton Sloof 20x25 cm</t>
  </si>
  <si>
    <t>a. Pembesian</t>
  </si>
  <si>
    <t>b. Bekisting</t>
  </si>
  <si>
    <t>c. Beton</t>
  </si>
  <si>
    <t>Cor Kolom Praktis 15x15 cm</t>
  </si>
  <si>
    <t>Cor Ring Balk 15x15 cm</t>
  </si>
  <si>
    <t>Volume Bekisting = Panjang X Lebar</t>
  </si>
  <si>
    <t>Kuda-kuda baja ringan serta reng</t>
  </si>
  <si>
    <t>Pemasangan list langit-langit gypsum</t>
  </si>
  <si>
    <t>List gypsum profil</t>
  </si>
  <si>
    <t>Tepung gypsum</t>
  </si>
  <si>
    <t>A.4.5.1.11</t>
  </si>
  <si>
    <t>A.4.5.1.12</t>
  </si>
  <si>
    <t>A.4.5.1.13</t>
  </si>
  <si>
    <t>Pemasangan 1 m2 Langit-langit Akustik Ukuran 60 cm x 120 cm Berikut Rangka Aluminium Hollow 40.40</t>
  </si>
  <si>
    <t>Lihat pada kelompok Pekerjaan Besi dan Alumunium (A.4.2.1.21)</t>
  </si>
  <si>
    <t>A.4.5.1.11 Pemasangan 1 m2 Rangka langit-langit besi hollow 40.40</t>
  </si>
  <si>
    <t xml:space="preserve">Pasangan Atap metal ukuran 80 x 100 atap pelana </t>
  </si>
  <si>
    <t>Rangka plafond besi hollow</t>
  </si>
  <si>
    <t>Pasangan Plafond gypsum board</t>
  </si>
  <si>
    <t>Rangka Plafon Hollow Galvalum</t>
  </si>
  <si>
    <t>Lampu TL 25W</t>
  </si>
  <si>
    <t xml:space="preserve">Volume </t>
  </si>
  <si>
    <t>Pekerjaan Urugan Pasir</t>
  </si>
  <si>
    <t>Pekerjaan Urugan Batu Pecah (3/5)</t>
  </si>
  <si>
    <t>Pekerjaan Ring Balk (15/15)</t>
  </si>
  <si>
    <t>Pekerjaan Pipa PVC dia. 4"</t>
  </si>
  <si>
    <t>Pekerjaan Pipa Hawa GIP dia. 1,5"</t>
  </si>
  <si>
    <t>Luas Tembok =</t>
  </si>
  <si>
    <t>Balok kayu kelas I</t>
  </si>
  <si>
    <t>Kayu Kusen Kelas II (5/12)</t>
  </si>
  <si>
    <t>Pasangan Daun Pintu Panel Kayu</t>
  </si>
  <si>
    <t>Pasang Lubang Angin</t>
  </si>
  <si>
    <t>Pasangan Kunci Tanam Biasa</t>
  </si>
  <si>
    <t>Pasangan Kunci Slot Pintu</t>
  </si>
  <si>
    <t>Pasangan Kunci Slot Jendela</t>
  </si>
  <si>
    <t>A.8.4.6.3</t>
  </si>
  <si>
    <t>Saklar ganda</t>
  </si>
  <si>
    <t>A.8.4.6.4</t>
  </si>
  <si>
    <t>Saklar tunggal</t>
  </si>
  <si>
    <t>A.8.4.6.5</t>
  </si>
  <si>
    <t>Stop kontak</t>
  </si>
  <si>
    <t>A.8.4.6.6</t>
  </si>
  <si>
    <t>Pasir beton kg</t>
  </si>
  <si>
    <t>Pasir beton m3</t>
  </si>
  <si>
    <t>Kerikil (Maks  30 mm) kg</t>
  </si>
  <si>
    <t>Kerikil (Maks  30 mm) m3</t>
  </si>
  <si>
    <t>Kerikil m3</t>
  </si>
  <si>
    <t>Kerikil kg</t>
  </si>
  <si>
    <t>Pasir Beton m3</t>
  </si>
  <si>
    <t>Pasir Beton kg</t>
  </si>
  <si>
    <t>DAFTAR HARGA SATUAN PEKERJAAN</t>
  </si>
  <si>
    <t>ANALISA HARGA SATUAN PEKERJAAN</t>
  </si>
  <si>
    <t>Berdasarkan Permen PUPR No.1 Tahun 2022</t>
  </si>
  <si>
    <t xml:space="preserve">(K3) Pemasangan 1 buah titik lampu </t>
  </si>
  <si>
    <t>Upah</t>
  </si>
  <si>
    <t>Memasang 1 Titik Instalasi Penerangan</t>
  </si>
  <si>
    <t>Pemasangan 1 buah saklar ganda</t>
  </si>
  <si>
    <t>Pemasangan 1 buah saklar tunggal</t>
  </si>
  <si>
    <t>Pemasangan 1 buah stop kontak</t>
  </si>
  <si>
    <t>Pemasangan 1 buah MCB Box</t>
  </si>
  <si>
    <t>Bobot (%)</t>
  </si>
  <si>
    <t>TOTAL I s/d XII</t>
  </si>
  <si>
    <t>Bulan I</t>
  </si>
  <si>
    <t>1 (7 Hari)</t>
  </si>
  <si>
    <t>2 (7 Hari)</t>
  </si>
  <si>
    <t>3 (7 Hari)</t>
  </si>
  <si>
    <t>4 (7 Hari)</t>
  </si>
  <si>
    <t xml:space="preserve">1 (7 Hari) </t>
  </si>
  <si>
    <t>Bulan II</t>
  </si>
  <si>
    <t>Bulan III</t>
  </si>
  <si>
    <t>PASIF</t>
  </si>
  <si>
    <t>KOMULATIF</t>
  </si>
  <si>
    <t>RENCANA</t>
  </si>
  <si>
    <t>TIME SCHEDULLE &amp; KURVA 'S' (77 Hari) Kerja</t>
  </si>
  <si>
    <t>REKAPITULASI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</si>
</sst>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(* #,##0_);_(* \(#,##0\);_(* &quot;-&quot;_);_(@_)"/>
    <numFmt numFmtId="43" formatCode="_(* #,##0.00_);_(* \(#,##0.00\);_(* &quot;-&quot;??_);_(@_)"/>
    <numFmt numFmtId="164" formatCode="_-&quot;Rp&quot;* #,##0_-;\-&quot;Rp&quot;* #,##0_-;_-&quot;Rp&quot;* &quot;-&quot;_-;_-@_-"/>
    <numFmt numFmtId="165" formatCode="_-* #,##0_-;\-* #,##0_-;_-* &quot;-&quot;_-;_-@_-"/>
    <numFmt numFmtId="166" formatCode="_-&quot;Rp&quot;* #,##0.00_-;\-&quot;Rp&quot;* #,##0.00_-;_-&quot;Rp&quot;* &quot;-&quot;??_-;_-@_-"/>
    <numFmt numFmtId="167" formatCode="_-* #,##0.00_-;\-* #,##0.00_-;_-* &quot;-&quot;??_-;_-@_-"/>
    <numFmt numFmtId="168" formatCode="_(* #,##0.00_);_(* \(#,##0.00\);_(* &quot;-&quot;_);_(@_)"/>
    <numFmt numFmtId="169" formatCode="_(* #,##0.00_);_(* \(#,##0.00\);_(* &quot;-&quot;????_);_(@_)"/>
    <numFmt numFmtId="170" formatCode="0.0000"/>
    <numFmt numFmtId="171" formatCode="_-* #,##0.0000_-;\-* #,##0.0000_-;_-* &quot;-&quot;??_-;_-@_-"/>
    <numFmt numFmtId="172" formatCode="_(* #,##0.000_);_(* \(#,##0.000\);_(* &quot;-&quot;_);_(@_)"/>
    <numFmt numFmtId="173" formatCode="_-* #,##0.0000_-;\-* #,##0.0000_-;_-* &quot;-&quot;????_-;_-@_-"/>
    <numFmt numFmtId="174" formatCode="_(* #,##0.0000_);_(* \(#,##0.0000\);_(* &quot;-&quot;_);_(@_)"/>
    <numFmt numFmtId="175" formatCode="#.##0"/>
    <numFmt numFmtId="176" formatCode="0.000"/>
    <numFmt numFmtId="177" formatCode="_([$Rp-421]* #,##0_);_([$Rp-421]* \(#,##0\);_([$Rp-421]* &quot;-&quot;_);_(@_)"/>
    <numFmt numFmtId="178" formatCode="_-[$Rp.-421]* #,##0.00_-;\-[$Rp-421]* #,##0.00_-;_-[$Rp-421]* &quot;-&quot;??_-;_-@_-"/>
    <numFmt numFmtId="179" formatCode="_-* #,##0.00_-;\-* #,##0.00_-;_-* &quot;-&quot;_-;_-@_-"/>
    <numFmt numFmtId="180" formatCode="_ * #,##0.0000_ ;_ * \-#,##0.0000_ ;_ * &quot;-&quot;????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  <font>
      <sz val="10"/>
      <name val="Arial"/>
      <family val="2"/>
    </font>
    <font>
      <vertAlign val="superscript"/>
      <sz val="10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  <charset val="1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Meiryo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b/>
      <u/>
      <sz val="10"/>
      <color theme="1"/>
      <name val="Century Gothic"/>
      <family val="2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3">
    <border>
      <left/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ash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9">
    <xf numFmtId="0" fontId="0" fillId="0" borderId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18" fillId="0" borderId="0"/>
    <xf numFmtId="41" fontId="23" fillId="0" borderId="0" applyFont="0" applyFill="0" applyBorder="0" applyAlignment="0" applyProtection="0"/>
    <xf numFmtId="0" fontId="18" fillId="0" borderId="0"/>
  </cellStyleXfs>
  <cellXfs count="60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1" fillId="0" borderId="1" xfId="0" applyFont="1" applyBorder="1"/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3" xfId="0" applyFill="1" applyBorder="1" applyAlignment="1">
      <alignment horizontal="left"/>
    </xf>
    <xf numFmtId="0" fontId="0" fillId="2" borderId="23" xfId="0" applyFill="1" applyBorder="1"/>
    <xf numFmtId="0" fontId="0" fillId="3" borderId="2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2" borderId="30" xfId="0" applyFill="1" applyBorder="1"/>
    <xf numFmtId="0" fontId="0" fillId="0" borderId="24" xfId="0" applyBorder="1" applyAlignment="1">
      <alignment horizontal="center"/>
    </xf>
    <xf numFmtId="2" fontId="0" fillId="0" borderId="23" xfId="0" applyNumberFormat="1" applyBorder="1"/>
    <xf numFmtId="2" fontId="0" fillId="3" borderId="2" xfId="0" applyNumberFormat="1" applyFill="1" applyBorder="1"/>
    <xf numFmtId="2" fontId="0" fillId="3" borderId="32" xfId="0" applyNumberFormat="1" applyFill="1" applyBorder="1"/>
    <xf numFmtId="0" fontId="0" fillId="0" borderId="30" xfId="0" applyBorder="1" applyAlignment="1">
      <alignment horizontal="center"/>
    </xf>
    <xf numFmtId="0" fontId="0" fillId="3" borderId="32" xfId="0" applyFill="1" applyBorder="1"/>
    <xf numFmtId="0" fontId="0" fillId="4" borderId="30" xfId="0" applyFill="1" applyBorder="1"/>
    <xf numFmtId="0" fontId="1" fillId="0" borderId="28" xfId="0" applyFont="1" applyBorder="1"/>
    <xf numFmtId="0" fontId="1" fillId="0" borderId="29" xfId="0" applyFont="1" applyBorder="1"/>
    <xf numFmtId="0" fontId="0" fillId="0" borderId="30" xfId="0" applyBorder="1" applyAlignment="1">
      <alignment horizontal="right"/>
    </xf>
    <xf numFmtId="0" fontId="1" fillId="6" borderId="1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0" borderId="35" xfId="0" applyBorder="1"/>
    <xf numFmtId="0" fontId="0" fillId="0" borderId="34" xfId="0" applyBorder="1"/>
    <xf numFmtId="0" fontId="0" fillId="0" borderId="34" xfId="0" applyBorder="1" applyAlignment="1">
      <alignment horizontal="center"/>
    </xf>
    <xf numFmtId="0" fontId="0" fillId="2" borderId="29" xfId="0" applyFill="1" applyBorder="1"/>
    <xf numFmtId="0" fontId="0" fillId="7" borderId="29" xfId="0" applyFill="1" applyBorder="1"/>
    <xf numFmtId="0" fontId="0" fillId="7" borderId="30" xfId="0" applyFill="1" applyBorder="1" applyAlignment="1">
      <alignment horizontal="center"/>
    </xf>
    <xf numFmtId="0" fontId="0" fillId="7" borderId="30" xfId="0" applyFill="1" applyBorder="1" applyAlignment="1">
      <alignment horizontal="left"/>
    </xf>
    <xf numFmtId="0" fontId="0" fillId="3" borderId="30" xfId="0" applyFill="1" applyBorder="1"/>
    <xf numFmtId="0" fontId="0" fillId="7" borderId="30" xfId="0" applyFill="1" applyBorder="1"/>
    <xf numFmtId="0" fontId="0" fillId="0" borderId="23" xfId="0" applyBorder="1" applyAlignment="1">
      <alignment horizontal="right"/>
    </xf>
    <xf numFmtId="0" fontId="0" fillId="0" borderId="29" xfId="0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30" xfId="0" applyFont="1" applyBorder="1"/>
    <xf numFmtId="0" fontId="0" fillId="8" borderId="30" xfId="0" applyFill="1" applyBorder="1"/>
    <xf numFmtId="0" fontId="1" fillId="0" borderId="30" xfId="0" applyFont="1" applyBorder="1"/>
    <xf numFmtId="0" fontId="7" fillId="0" borderId="29" xfId="0" applyFont="1" applyBorder="1" applyAlignment="1">
      <alignment horizontal="center"/>
    </xf>
    <xf numFmtId="2" fontId="0" fillId="3" borderId="30" xfId="0" applyNumberFormat="1" applyFill="1" applyBorder="1"/>
    <xf numFmtId="1" fontId="0" fillId="3" borderId="30" xfId="0" applyNumberFormat="1" applyFill="1" applyBorder="1"/>
    <xf numFmtId="0" fontId="0" fillId="0" borderId="23" xfId="0" applyBorder="1" applyAlignment="1">
      <alignment wrapText="1"/>
    </xf>
    <xf numFmtId="1" fontId="0" fillId="0" borderId="23" xfId="0" applyNumberFormat="1" applyBorder="1" applyAlignment="1">
      <alignment wrapText="1"/>
    </xf>
    <xf numFmtId="0" fontId="0" fillId="0" borderId="23" xfId="0" applyBorder="1" applyAlignment="1">
      <alignment horizontal="center" wrapText="1"/>
    </xf>
    <xf numFmtId="1" fontId="0" fillId="3" borderId="23" xfId="0" applyNumberFormat="1" applyFill="1" applyBorder="1" applyAlignment="1">
      <alignment wrapText="1"/>
    </xf>
    <xf numFmtId="0" fontId="7" fillId="0" borderId="22" xfId="0" applyFont="1" applyBorder="1" applyAlignment="1">
      <alignment horizontal="center"/>
    </xf>
    <xf numFmtId="0" fontId="7" fillId="0" borderId="23" xfId="0" applyFont="1" applyBorder="1"/>
    <xf numFmtId="1" fontId="0" fillId="3" borderId="32" xfId="0" applyNumberFormat="1" applyFill="1" applyBorder="1"/>
    <xf numFmtId="0" fontId="1" fillId="0" borderId="29" xfId="0" applyFont="1" applyBorder="1" applyAlignment="1">
      <alignment horizontal="center"/>
    </xf>
    <xf numFmtId="0" fontId="8" fillId="0" borderId="30" xfId="0" applyFont="1" applyBorder="1"/>
    <xf numFmtId="0" fontId="0" fillId="0" borderId="29" xfId="0" applyBorder="1" applyAlignment="1">
      <alignment horizontal="center"/>
    </xf>
    <xf numFmtId="2" fontId="0" fillId="0" borderId="32" xfId="0" applyNumberFormat="1" applyBorder="1"/>
    <xf numFmtId="2" fontId="0" fillId="0" borderId="30" xfId="0" applyNumberFormat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165" fontId="0" fillId="0" borderId="0" xfId="1" applyFont="1"/>
    <xf numFmtId="0" fontId="0" fillId="0" borderId="0" xfId="0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5" xfId="0" applyBorder="1"/>
    <xf numFmtId="0" fontId="1" fillId="0" borderId="2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0" fillId="0" borderId="3" xfId="0" applyNumberFormat="1" applyBorder="1"/>
    <xf numFmtId="41" fontId="12" fillId="0" borderId="0" xfId="3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68" fontId="14" fillId="0" borderId="0" xfId="3" applyNumberFormat="1" applyFont="1" applyAlignment="1">
      <alignment vertical="center"/>
    </xf>
    <xf numFmtId="41" fontId="14" fillId="0" borderId="0" xfId="3" applyFont="1" applyAlignment="1">
      <alignment vertical="center"/>
    </xf>
    <xf numFmtId="49" fontId="15" fillId="0" borderId="0" xfId="0" applyNumberFormat="1" applyFont="1" applyAlignment="1">
      <alignment vertical="center"/>
    </xf>
    <xf numFmtId="169" fontId="14" fillId="0" borderId="0" xfId="0" applyNumberFormat="1" applyFont="1" applyAlignment="1">
      <alignment vertical="center"/>
    </xf>
    <xf numFmtId="49" fontId="15" fillId="0" borderId="47" xfId="0" applyNumberFormat="1" applyFont="1" applyBorder="1" applyAlignment="1">
      <alignment vertical="center"/>
    </xf>
    <xf numFmtId="49" fontId="15" fillId="0" borderId="48" xfId="0" applyNumberFormat="1" applyFont="1" applyBorder="1" applyAlignment="1">
      <alignment vertical="center"/>
    </xf>
    <xf numFmtId="49" fontId="15" fillId="0" borderId="48" xfId="0" applyNumberFormat="1" applyFont="1" applyBorder="1" applyAlignment="1">
      <alignment horizontal="center" vertical="center"/>
    </xf>
    <xf numFmtId="49" fontId="15" fillId="0" borderId="48" xfId="0" applyNumberFormat="1" applyFont="1" applyBorder="1" applyAlignment="1">
      <alignment horizontal="right" vertical="center"/>
    </xf>
    <xf numFmtId="49" fontId="15" fillId="0" borderId="49" xfId="0" applyNumberFormat="1" applyFont="1" applyBorder="1" applyAlignment="1">
      <alignment vertical="center"/>
    </xf>
    <xf numFmtId="49" fontId="15" fillId="0" borderId="50" xfId="0" applyNumberFormat="1" applyFont="1" applyBorder="1" applyAlignment="1">
      <alignment vertical="center"/>
    </xf>
    <xf numFmtId="49" fontId="15" fillId="0" borderId="14" xfId="0" applyNumberFormat="1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right" vertical="center"/>
    </xf>
    <xf numFmtId="0" fontId="14" fillId="0" borderId="14" xfId="0" applyFont="1" applyBorder="1" applyAlignment="1">
      <alignment vertical="center"/>
    </xf>
    <xf numFmtId="0" fontId="14" fillId="0" borderId="51" xfId="0" applyFont="1" applyBorder="1" applyAlignment="1">
      <alignment vertical="center"/>
    </xf>
    <xf numFmtId="0" fontId="14" fillId="0" borderId="50" xfId="0" applyFont="1" applyBorder="1" applyAlignment="1">
      <alignment vertical="center"/>
    </xf>
    <xf numFmtId="49" fontId="15" fillId="0" borderId="14" xfId="0" applyNumberFormat="1" applyFont="1" applyBorder="1" applyAlignment="1">
      <alignment horizontal="center" vertical="center"/>
    </xf>
    <xf numFmtId="170" fontId="15" fillId="0" borderId="14" xfId="0" applyNumberFormat="1" applyFont="1" applyBorder="1" applyAlignment="1">
      <alignment horizontal="right" vertical="center"/>
    </xf>
    <xf numFmtId="165" fontId="14" fillId="0" borderId="14" xfId="1" applyFont="1" applyBorder="1" applyAlignment="1">
      <alignment vertical="center"/>
    </xf>
    <xf numFmtId="169" fontId="14" fillId="0" borderId="51" xfId="0" applyNumberFormat="1" applyFont="1" applyBorder="1" applyAlignment="1">
      <alignment vertical="center"/>
    </xf>
    <xf numFmtId="0" fontId="14" fillId="0" borderId="52" xfId="0" applyFont="1" applyBorder="1" applyAlignment="1">
      <alignment vertical="center"/>
    </xf>
    <xf numFmtId="49" fontId="15" fillId="0" borderId="53" xfId="0" applyNumberFormat="1" applyFont="1" applyBorder="1" applyAlignment="1">
      <alignment vertical="center"/>
    </xf>
    <xf numFmtId="49" fontId="15" fillId="0" borderId="53" xfId="0" applyNumberFormat="1" applyFont="1" applyBorder="1" applyAlignment="1">
      <alignment horizontal="center" vertical="center"/>
    </xf>
    <xf numFmtId="170" fontId="15" fillId="0" borderId="53" xfId="0" applyNumberFormat="1" applyFont="1" applyBorder="1" applyAlignment="1">
      <alignment horizontal="right" vertical="center"/>
    </xf>
    <xf numFmtId="165" fontId="14" fillId="0" borderId="54" xfId="1" applyFont="1" applyBorder="1" applyAlignment="1">
      <alignment vertical="center"/>
    </xf>
    <xf numFmtId="0" fontId="14" fillId="0" borderId="4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4" fillId="0" borderId="48" xfId="0" applyFont="1" applyBorder="1" applyAlignment="1">
      <alignment horizontal="center" vertical="center"/>
    </xf>
    <xf numFmtId="170" fontId="15" fillId="0" borderId="48" xfId="0" applyNumberFormat="1" applyFont="1" applyBorder="1" applyAlignment="1">
      <alignment horizontal="right" vertical="center"/>
    </xf>
    <xf numFmtId="41" fontId="14" fillId="0" borderId="48" xfId="0" applyNumberFormat="1" applyFont="1" applyBorder="1" applyAlignment="1">
      <alignment vertical="center"/>
    </xf>
    <xf numFmtId="169" fontId="14" fillId="0" borderId="49" xfId="0" applyNumberFormat="1" applyFont="1" applyBorder="1" applyAlignment="1">
      <alignment vertical="center"/>
    </xf>
    <xf numFmtId="49" fontId="15" fillId="0" borderId="55" xfId="0" applyNumberFormat="1" applyFont="1" applyBorder="1" applyAlignment="1">
      <alignment vertical="center"/>
    </xf>
    <xf numFmtId="49" fontId="15" fillId="0" borderId="56" xfId="0" applyNumberFormat="1" applyFont="1" applyBorder="1" applyAlignment="1">
      <alignment vertical="center"/>
    </xf>
    <xf numFmtId="0" fontId="14" fillId="0" borderId="56" xfId="0" applyFont="1" applyBorder="1" applyAlignment="1">
      <alignment horizontal="center" vertical="center"/>
    </xf>
    <xf numFmtId="170" fontId="14" fillId="0" borderId="56" xfId="0" applyNumberFormat="1" applyFont="1" applyBorder="1" applyAlignment="1">
      <alignment horizontal="right" vertical="center"/>
    </xf>
    <xf numFmtId="41" fontId="14" fillId="0" borderId="56" xfId="0" applyNumberFormat="1" applyFont="1" applyBorder="1" applyAlignment="1">
      <alignment vertical="center"/>
    </xf>
    <xf numFmtId="169" fontId="14" fillId="0" borderId="57" xfId="0" applyNumberFormat="1" applyFont="1" applyBorder="1" applyAlignment="1">
      <alignment vertical="center"/>
    </xf>
    <xf numFmtId="41" fontId="14" fillId="0" borderId="14" xfId="0" applyNumberFormat="1" applyFont="1" applyBorder="1" applyAlignment="1">
      <alignment vertical="center"/>
    </xf>
    <xf numFmtId="0" fontId="14" fillId="0" borderId="53" xfId="0" applyFont="1" applyBorder="1" applyAlignment="1">
      <alignment horizontal="center" vertical="center"/>
    </xf>
    <xf numFmtId="169" fontId="14" fillId="0" borderId="58" xfId="0" applyNumberFormat="1" applyFont="1" applyBorder="1" applyAlignment="1">
      <alignment vertical="center"/>
    </xf>
    <xf numFmtId="49" fontId="15" fillId="0" borderId="59" xfId="0" applyNumberFormat="1" applyFont="1" applyBorder="1" applyAlignment="1">
      <alignment vertical="center"/>
    </xf>
    <xf numFmtId="49" fontId="15" fillId="0" borderId="60" xfId="0" applyNumberFormat="1" applyFont="1" applyBorder="1" applyAlignment="1">
      <alignment vertical="center"/>
    </xf>
    <xf numFmtId="0" fontId="14" fillId="0" borderId="60" xfId="0" applyFont="1" applyBorder="1" applyAlignment="1">
      <alignment horizontal="center" vertical="center"/>
    </xf>
    <xf numFmtId="170" fontId="14" fillId="0" borderId="60" xfId="0" applyNumberFormat="1" applyFont="1" applyBorder="1" applyAlignment="1">
      <alignment horizontal="right" vertical="center"/>
    </xf>
    <xf numFmtId="41" fontId="14" fillId="0" borderId="60" xfId="0" applyNumberFormat="1" applyFont="1" applyBorder="1" applyAlignment="1">
      <alignment vertical="center"/>
    </xf>
    <xf numFmtId="169" fontId="14" fillId="0" borderId="61" xfId="0" applyNumberFormat="1" applyFont="1" applyBorder="1" applyAlignment="1">
      <alignment vertical="center"/>
    </xf>
    <xf numFmtId="49" fontId="15" fillId="0" borderId="52" xfId="0" applyNumberFormat="1" applyFont="1" applyBorder="1" applyAlignment="1">
      <alignment vertical="center"/>
    </xf>
    <xf numFmtId="9" fontId="15" fillId="0" borderId="53" xfId="4" applyFont="1" applyBorder="1" applyAlignment="1">
      <alignment horizontal="right" vertical="center"/>
    </xf>
    <xf numFmtId="41" fontId="14" fillId="0" borderId="53" xfId="0" applyNumberFormat="1" applyFont="1" applyBorder="1" applyAlignment="1">
      <alignment vertical="center"/>
    </xf>
    <xf numFmtId="170" fontId="14" fillId="0" borderId="48" xfId="0" applyNumberFormat="1" applyFont="1" applyBorder="1" applyAlignment="1">
      <alignment horizontal="right" vertical="center"/>
    </xf>
    <xf numFmtId="170" fontId="14" fillId="0" borderId="0" xfId="0" applyNumberFormat="1" applyFont="1" applyAlignment="1">
      <alignment horizontal="right" vertical="center"/>
    </xf>
    <xf numFmtId="49" fontId="15" fillId="0" borderId="62" xfId="0" applyNumberFormat="1" applyFont="1" applyBorder="1" applyAlignment="1">
      <alignment vertical="center"/>
    </xf>
    <xf numFmtId="49" fontId="15" fillId="0" borderId="63" xfId="0" applyNumberFormat="1" applyFont="1" applyBorder="1" applyAlignment="1">
      <alignment vertical="center"/>
    </xf>
    <xf numFmtId="0" fontId="14" fillId="0" borderId="63" xfId="0" applyFont="1" applyBorder="1" applyAlignment="1">
      <alignment horizontal="center" vertical="center"/>
    </xf>
    <xf numFmtId="170" fontId="14" fillId="0" borderId="63" xfId="0" applyNumberFormat="1" applyFont="1" applyBorder="1" applyAlignment="1">
      <alignment horizontal="right" vertical="center"/>
    </xf>
    <xf numFmtId="41" fontId="14" fillId="0" borderId="63" xfId="0" applyNumberFormat="1" applyFont="1" applyBorder="1" applyAlignment="1">
      <alignment vertical="center"/>
    </xf>
    <xf numFmtId="169" fontId="14" fillId="0" borderId="64" xfId="0" applyNumberFormat="1" applyFont="1" applyBorder="1" applyAlignment="1">
      <alignment vertical="center"/>
    </xf>
    <xf numFmtId="9" fontId="15" fillId="0" borderId="60" xfId="4" applyFont="1" applyBorder="1" applyAlignment="1">
      <alignment horizontal="right" vertical="center"/>
    </xf>
    <xf numFmtId="170" fontId="14" fillId="0" borderId="14" xfId="0" applyNumberFormat="1" applyFont="1" applyBorder="1" applyAlignment="1">
      <alignment horizontal="right" vertical="center"/>
    </xf>
    <xf numFmtId="41" fontId="14" fillId="0" borderId="0" xfId="0" applyNumberFormat="1" applyFont="1" applyAlignment="1">
      <alignment vertical="center"/>
    </xf>
    <xf numFmtId="41" fontId="13" fillId="0" borderId="0" xfId="3" applyFont="1" applyFill="1" applyAlignment="1">
      <alignment vertical="center"/>
    </xf>
    <xf numFmtId="49" fontId="12" fillId="0" borderId="0" xfId="0" applyNumberFormat="1" applyFont="1" applyAlignment="1">
      <alignment vertical="center"/>
    </xf>
    <xf numFmtId="168" fontId="14" fillId="0" borderId="0" xfId="3" applyNumberFormat="1" applyFont="1" applyFill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vertical="center"/>
    </xf>
    <xf numFmtId="41" fontId="13" fillId="0" borderId="0" xfId="3" applyFont="1" applyAlignment="1">
      <alignment vertical="center"/>
    </xf>
    <xf numFmtId="165" fontId="14" fillId="0" borderId="0" xfId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71" fontId="14" fillId="0" borderId="0" xfId="0" applyNumberFormat="1" applyFont="1" applyAlignment="1">
      <alignment vertical="center"/>
    </xf>
    <xf numFmtId="0" fontId="14" fillId="0" borderId="65" xfId="0" applyFont="1" applyBorder="1" applyAlignment="1">
      <alignment vertical="center"/>
    </xf>
    <xf numFmtId="49" fontId="15" fillId="0" borderId="54" xfId="0" applyNumberFormat="1" applyFont="1" applyBorder="1" applyAlignment="1">
      <alignment vertical="center"/>
    </xf>
    <xf numFmtId="0" fontId="14" fillId="0" borderId="54" xfId="0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170" fontId="15" fillId="0" borderId="54" xfId="0" applyNumberFormat="1" applyFont="1" applyBorder="1" applyAlignment="1">
      <alignment horizontal="right" vertical="center"/>
    </xf>
    <xf numFmtId="169" fontId="14" fillId="0" borderId="66" xfId="0" applyNumberFormat="1" applyFont="1" applyBorder="1" applyAlignment="1">
      <alignment vertical="center"/>
    </xf>
    <xf numFmtId="0" fontId="15" fillId="0" borderId="50" xfId="0" applyFont="1" applyBorder="1" applyAlignment="1">
      <alignment horizontal="left" vertical="center"/>
    </xf>
    <xf numFmtId="0" fontId="15" fillId="0" borderId="14" xfId="0" applyFont="1" applyBorder="1" applyAlignme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right" vertical="center"/>
    </xf>
    <xf numFmtId="0" fontId="15" fillId="0" borderId="52" xfId="0" applyFont="1" applyBorder="1" applyAlignment="1">
      <alignment horizontal="left" vertical="center"/>
    </xf>
    <xf numFmtId="0" fontId="15" fillId="0" borderId="53" xfId="0" applyFont="1" applyBorder="1" applyAlignment="1">
      <alignment vertical="center"/>
    </xf>
    <xf numFmtId="0" fontId="15" fillId="0" borderId="53" xfId="0" applyFont="1" applyBorder="1" applyAlignment="1">
      <alignment horizontal="center" vertical="center"/>
    </xf>
    <xf numFmtId="0" fontId="15" fillId="0" borderId="53" xfId="0" applyFont="1" applyBorder="1" applyAlignment="1">
      <alignment horizontal="right" vertical="center"/>
    </xf>
    <xf numFmtId="0" fontId="15" fillId="0" borderId="53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9" fontId="15" fillId="0" borderId="48" xfId="4" applyFont="1" applyBorder="1" applyAlignment="1">
      <alignment horizontal="right" vertical="center"/>
    </xf>
    <xf numFmtId="49" fontId="15" fillId="0" borderId="67" xfId="0" applyNumberFormat="1" applyFont="1" applyBorder="1" applyAlignment="1">
      <alignment vertical="center"/>
    </xf>
    <xf numFmtId="49" fontId="15" fillId="0" borderId="68" xfId="0" applyNumberFormat="1" applyFont="1" applyBorder="1" applyAlignment="1">
      <alignment vertical="center"/>
    </xf>
    <xf numFmtId="0" fontId="14" fillId="0" borderId="68" xfId="0" applyFont="1" applyBorder="1" applyAlignment="1">
      <alignment horizontal="center" vertical="center"/>
    </xf>
    <xf numFmtId="170" fontId="14" fillId="0" borderId="68" xfId="0" applyNumberFormat="1" applyFont="1" applyBorder="1" applyAlignment="1">
      <alignment horizontal="right" vertical="center"/>
    </xf>
    <xf numFmtId="41" fontId="14" fillId="0" borderId="68" xfId="0" applyNumberFormat="1" applyFont="1" applyBorder="1" applyAlignment="1">
      <alignment vertical="center"/>
    </xf>
    <xf numFmtId="169" fontId="14" fillId="0" borderId="69" xfId="0" applyNumberFormat="1" applyFont="1" applyBorder="1" applyAlignment="1">
      <alignment vertical="center"/>
    </xf>
    <xf numFmtId="172" fontId="15" fillId="0" borderId="0" xfId="3" applyNumberFormat="1" applyFont="1" applyBorder="1" applyAlignment="1">
      <alignment horizontal="left" vertical="center"/>
    </xf>
    <xf numFmtId="172" fontId="15" fillId="0" borderId="0" xfId="3" applyNumberFormat="1" applyFont="1" applyBorder="1" applyAlignment="1">
      <alignment vertical="center"/>
    </xf>
    <xf numFmtId="172" fontId="14" fillId="0" borderId="0" xfId="3" applyNumberFormat="1" applyFont="1" applyBorder="1" applyAlignment="1">
      <alignment horizontal="center" vertical="center"/>
    </xf>
    <xf numFmtId="172" fontId="14" fillId="0" borderId="0" xfId="3" applyNumberFormat="1" applyFont="1" applyBorder="1" applyAlignment="1">
      <alignment vertical="center"/>
    </xf>
    <xf numFmtId="172" fontId="15" fillId="0" borderId="0" xfId="3" applyNumberFormat="1" applyFont="1" applyBorder="1" applyAlignment="1">
      <alignment horizontal="center" vertical="center"/>
    </xf>
    <xf numFmtId="0" fontId="15" fillId="0" borderId="8" xfId="3" applyNumberFormat="1" applyFont="1" applyBorder="1" applyAlignment="1">
      <alignment horizontal="center" vertical="center"/>
    </xf>
    <xf numFmtId="0" fontId="15" fillId="0" borderId="2" xfId="3" applyNumberFormat="1" applyFont="1" applyBorder="1" applyAlignment="1">
      <alignment horizontal="center" vertical="center"/>
    </xf>
    <xf numFmtId="0" fontId="15" fillId="0" borderId="45" xfId="3" applyNumberFormat="1" applyFont="1" applyBorder="1" applyAlignment="1">
      <alignment horizontal="center" vertical="center"/>
    </xf>
    <xf numFmtId="41" fontId="14" fillId="0" borderId="0" xfId="3" applyFont="1" applyFill="1" applyAlignment="1">
      <alignment vertical="center"/>
    </xf>
    <xf numFmtId="167" fontId="14" fillId="0" borderId="0" xfId="0" applyNumberFormat="1" applyFont="1" applyAlignment="1">
      <alignment vertical="center"/>
    </xf>
    <xf numFmtId="173" fontId="14" fillId="0" borderId="0" xfId="0" applyNumberFormat="1" applyFont="1" applyAlignment="1">
      <alignment vertical="center"/>
    </xf>
    <xf numFmtId="49" fontId="18" fillId="0" borderId="14" xfId="0" applyNumberFormat="1" applyFont="1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170" fontId="18" fillId="0" borderId="14" xfId="0" applyNumberFormat="1" applyFont="1" applyBorder="1" applyAlignment="1">
      <alignment horizontal="right" vertical="center"/>
    </xf>
    <xf numFmtId="41" fontId="14" fillId="0" borderId="14" xfId="0" applyNumberFormat="1" applyFont="1" applyBorder="1" applyAlignment="1">
      <alignment horizontal="center" vertical="center"/>
    </xf>
    <xf numFmtId="174" fontId="15" fillId="0" borderId="14" xfId="3" applyNumberFormat="1" applyFont="1" applyBorder="1" applyAlignment="1">
      <alignment horizontal="right" vertical="center"/>
    </xf>
    <xf numFmtId="174" fontId="15" fillId="0" borderId="53" xfId="3" applyNumberFormat="1" applyFont="1" applyBorder="1" applyAlignment="1">
      <alignment horizontal="right" vertical="center"/>
    </xf>
    <xf numFmtId="0" fontId="15" fillId="0" borderId="14" xfId="0" applyFont="1" applyBorder="1" applyAlignment="1">
      <alignment horizontal="left" vertical="center"/>
    </xf>
    <xf numFmtId="49" fontId="12" fillId="0" borderId="47" xfId="0" applyNumberFormat="1" applyFont="1" applyBorder="1" applyAlignment="1">
      <alignment horizontal="center" vertical="center"/>
    </xf>
    <xf numFmtId="49" fontId="12" fillId="0" borderId="48" xfId="0" applyNumberFormat="1" applyFont="1" applyBorder="1" applyAlignment="1">
      <alignment horizontal="center" vertical="center"/>
    </xf>
    <xf numFmtId="49" fontId="12" fillId="0" borderId="48" xfId="0" applyNumberFormat="1" applyFont="1" applyBorder="1" applyAlignment="1">
      <alignment horizontal="center" vertical="center" wrapText="1"/>
    </xf>
    <xf numFmtId="49" fontId="12" fillId="0" borderId="49" xfId="0" applyNumberFormat="1" applyFont="1" applyBorder="1" applyAlignment="1">
      <alignment horizontal="center" vertical="center" wrapText="1"/>
    </xf>
    <xf numFmtId="0" fontId="15" fillId="0" borderId="54" xfId="0" applyFont="1" applyBorder="1" applyAlignment="1">
      <alignment horizontal="left" vertical="center"/>
    </xf>
    <xf numFmtId="0" fontId="14" fillId="0" borderId="67" xfId="0" applyFont="1" applyBorder="1" applyAlignment="1">
      <alignment vertical="center"/>
    </xf>
    <xf numFmtId="0" fontId="14" fillId="0" borderId="68" xfId="0" applyFont="1" applyBorder="1" applyAlignment="1">
      <alignment vertical="center"/>
    </xf>
    <xf numFmtId="170" fontId="15" fillId="0" borderId="68" xfId="0" applyNumberFormat="1" applyFont="1" applyBorder="1" applyAlignment="1">
      <alignment horizontal="right" vertical="center"/>
    </xf>
    <xf numFmtId="41" fontId="14" fillId="0" borderId="54" xfId="0" applyNumberFormat="1" applyFont="1" applyBorder="1" applyAlignment="1">
      <alignment vertical="center"/>
    </xf>
    <xf numFmtId="49" fontId="15" fillId="0" borderId="47" xfId="0" applyNumberFormat="1" applyFont="1" applyBorder="1" applyAlignment="1">
      <alignment horizontal="center" vertical="center"/>
    </xf>
    <xf numFmtId="172" fontId="15" fillId="0" borderId="14" xfId="3" applyNumberFormat="1" applyFont="1" applyBorder="1" applyAlignment="1">
      <alignment horizontal="right" vertical="center"/>
    </xf>
    <xf numFmtId="172" fontId="15" fillId="0" borderId="53" xfId="3" applyNumberFormat="1" applyFont="1" applyBorder="1" applyAlignment="1">
      <alignment horizontal="right" vertical="center"/>
    </xf>
    <xf numFmtId="0" fontId="15" fillId="0" borderId="54" xfId="0" applyFont="1" applyBorder="1" applyAlignment="1">
      <alignment horizontal="right" vertical="center"/>
    </xf>
    <xf numFmtId="9" fontId="15" fillId="0" borderId="68" xfId="4" applyFont="1" applyBorder="1" applyAlignment="1">
      <alignment horizontal="right" vertical="center"/>
    </xf>
    <xf numFmtId="170" fontId="15" fillId="0" borderId="0" xfId="0" applyNumberFormat="1" applyFont="1" applyAlignment="1">
      <alignment horizontal="right" vertical="center"/>
    </xf>
    <xf numFmtId="170" fontId="14" fillId="0" borderId="53" xfId="0" applyNumberFormat="1" applyFont="1" applyBorder="1" applyAlignment="1">
      <alignment horizontal="right" vertical="center"/>
    </xf>
    <xf numFmtId="9" fontId="15" fillId="0" borderId="14" xfId="4" applyFont="1" applyBorder="1" applyAlignment="1">
      <alignment horizontal="right" vertical="center"/>
    </xf>
    <xf numFmtId="49" fontId="15" fillId="0" borderId="65" xfId="0" applyNumberFormat="1" applyFont="1" applyBorder="1" applyAlignment="1">
      <alignment vertical="center"/>
    </xf>
    <xf numFmtId="170" fontId="14" fillId="0" borderId="54" xfId="0" applyNumberFormat="1" applyFont="1" applyBorder="1" applyAlignment="1">
      <alignment horizontal="right" vertical="center"/>
    </xf>
    <xf numFmtId="170" fontId="15" fillId="0" borderId="14" xfId="0" applyNumberFormat="1" applyFont="1" applyBorder="1" applyAlignment="1">
      <alignment horizontal="center" vertical="center"/>
    </xf>
    <xf numFmtId="175" fontId="15" fillId="0" borderId="14" xfId="0" applyNumberFormat="1" applyFont="1" applyBorder="1" applyAlignment="1">
      <alignment horizontal="right" vertical="center"/>
    </xf>
    <xf numFmtId="49" fontId="15" fillId="0" borderId="14" xfId="0" applyNumberFormat="1" applyFont="1" applyBorder="1" applyAlignment="1">
      <alignment horizontal="right" vertical="center"/>
    </xf>
    <xf numFmtId="176" fontId="15" fillId="0" borderId="14" xfId="0" applyNumberFormat="1" applyFont="1" applyBorder="1" applyAlignment="1">
      <alignment horizontal="right" vertical="center"/>
    </xf>
    <xf numFmtId="165" fontId="14" fillId="0" borderId="14" xfId="1" applyFont="1" applyFill="1" applyBorder="1" applyAlignment="1">
      <alignment vertical="center"/>
    </xf>
    <xf numFmtId="9" fontId="15" fillId="0" borderId="60" xfId="4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41" fontId="14" fillId="3" borderId="0" xfId="3" applyFont="1" applyFill="1" applyAlignment="1">
      <alignment vertical="center"/>
    </xf>
    <xf numFmtId="49" fontId="15" fillId="3" borderId="0" xfId="0" applyNumberFormat="1" applyFont="1" applyFill="1" applyAlignment="1">
      <alignment vertical="center"/>
    </xf>
    <xf numFmtId="167" fontId="14" fillId="0" borderId="14" xfId="0" applyNumberFormat="1" applyFont="1" applyBorder="1" applyAlignment="1">
      <alignment vertical="center"/>
    </xf>
    <xf numFmtId="0" fontId="14" fillId="0" borderId="0" xfId="0" applyFont="1"/>
    <xf numFmtId="170" fontId="14" fillId="0" borderId="0" xfId="0" applyNumberFormat="1" applyFont="1"/>
    <xf numFmtId="49" fontId="15" fillId="0" borderId="0" xfId="0" applyNumberFormat="1" applyFont="1"/>
    <xf numFmtId="0" fontId="14" fillId="0" borderId="0" xfId="0" applyFont="1" applyAlignment="1">
      <alignment vertical="top"/>
    </xf>
    <xf numFmtId="170" fontId="14" fillId="0" borderId="0" xfId="0" applyNumberFormat="1" applyFont="1" applyAlignment="1">
      <alignment vertical="top"/>
    </xf>
    <xf numFmtId="41" fontId="14" fillId="0" borderId="0" xfId="0" applyNumberFormat="1" applyFont="1" applyAlignment="1">
      <alignment vertical="top"/>
    </xf>
    <xf numFmtId="169" fontId="14" fillId="0" borderId="0" xfId="0" applyNumberFormat="1" applyFont="1" applyAlignment="1">
      <alignment vertical="top"/>
    </xf>
    <xf numFmtId="41" fontId="14" fillId="0" borderId="0" xfId="0" applyNumberFormat="1" applyFont="1"/>
    <xf numFmtId="169" fontId="14" fillId="0" borderId="0" xfId="0" applyNumberFormat="1" applyFont="1"/>
    <xf numFmtId="170" fontId="15" fillId="0" borderId="0" xfId="0" applyNumberFormat="1" applyFont="1"/>
    <xf numFmtId="170" fontId="15" fillId="0" borderId="0" xfId="0" applyNumberFormat="1" applyFont="1" applyAlignment="1">
      <alignment vertical="top"/>
    </xf>
    <xf numFmtId="0" fontId="10" fillId="0" borderId="0" xfId="5"/>
    <xf numFmtId="0" fontId="21" fillId="0" borderId="0" xfId="5" applyFont="1"/>
    <xf numFmtId="43" fontId="10" fillId="0" borderId="0" xfId="5" applyNumberFormat="1"/>
    <xf numFmtId="0" fontId="24" fillId="0" borderId="0" xfId="0" applyFont="1" applyAlignment="1">
      <alignment horizontal="center" vertical="center"/>
    </xf>
    <xf numFmtId="0" fontId="25" fillId="0" borderId="87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/>
    </xf>
    <xf numFmtId="0" fontId="25" fillId="0" borderId="82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/>
    </xf>
    <xf numFmtId="0" fontId="25" fillId="0" borderId="84" xfId="0" applyFont="1" applyBorder="1" applyAlignment="1">
      <alignment horizontal="center" vertical="center"/>
    </xf>
    <xf numFmtId="0" fontId="25" fillId="0" borderId="84" xfId="0" applyFont="1" applyBorder="1" applyAlignment="1">
      <alignment horizontal="center" vertical="center" wrapText="1"/>
    </xf>
    <xf numFmtId="0" fontId="25" fillId="0" borderId="88" xfId="0" applyFont="1" applyBorder="1" applyAlignment="1">
      <alignment horizontal="center" vertical="center"/>
    </xf>
    <xf numFmtId="0" fontId="0" fillId="0" borderId="59" xfId="0" applyBorder="1" applyAlignment="1">
      <alignment horizontal="center"/>
    </xf>
    <xf numFmtId="0" fontId="0" fillId="0" borderId="78" xfId="0" applyBorder="1"/>
    <xf numFmtId="0" fontId="0" fillId="0" borderId="89" xfId="0" applyBorder="1"/>
    <xf numFmtId="0" fontId="0" fillId="0" borderId="60" xfId="0" applyBorder="1"/>
    <xf numFmtId="164" fontId="10" fillId="0" borderId="60" xfId="1" applyNumberFormat="1" applyFont="1" applyBorder="1" applyAlignment="1"/>
    <xf numFmtId="0" fontId="0" fillId="0" borderId="61" xfId="0" applyBorder="1"/>
    <xf numFmtId="164" fontId="0" fillId="0" borderId="60" xfId="1" applyNumberFormat="1" applyFont="1" applyBorder="1"/>
    <xf numFmtId="164" fontId="0" fillId="0" borderId="0" xfId="0" applyNumberFormat="1"/>
    <xf numFmtId="177" fontId="18" fillId="0" borderId="60" xfId="0" applyNumberFormat="1" applyFont="1" applyBorder="1"/>
    <xf numFmtId="164" fontId="26" fillId="0" borderId="0" xfId="0" applyNumberFormat="1" applyFont="1"/>
    <xf numFmtId="164" fontId="18" fillId="0" borderId="0" xfId="0" applyNumberFormat="1" applyFont="1"/>
    <xf numFmtId="164" fontId="27" fillId="0" borderId="0" xfId="0" applyNumberFormat="1" applyFont="1"/>
    <xf numFmtId="49" fontId="18" fillId="0" borderId="0" xfId="0" applyNumberFormat="1" applyFont="1" applyAlignment="1">
      <alignment vertical="center"/>
    </xf>
    <xf numFmtId="164" fontId="18" fillId="0" borderId="0" xfId="1" applyNumberFormat="1" applyFont="1" applyFill="1" applyBorder="1"/>
    <xf numFmtId="49" fontId="18" fillId="0" borderId="0" xfId="0" applyNumberFormat="1" applyFont="1"/>
    <xf numFmtId="165" fontId="0" fillId="0" borderId="0" xfId="0" applyNumberFormat="1"/>
    <xf numFmtId="0" fontId="1" fillId="0" borderId="78" xfId="0" applyFont="1" applyBorder="1"/>
    <xf numFmtId="49" fontId="28" fillId="0" borderId="78" xfId="0" applyNumberFormat="1" applyFont="1" applyBorder="1" applyAlignment="1">
      <alignment vertical="center"/>
    </xf>
    <xf numFmtId="49" fontId="28" fillId="0" borderId="0" xfId="0" applyNumberFormat="1" applyFont="1" applyAlignment="1">
      <alignment vertical="center"/>
    </xf>
    <xf numFmtId="0" fontId="0" fillId="0" borderId="90" xfId="0" applyBorder="1" applyAlignment="1">
      <alignment horizontal="center"/>
    </xf>
    <xf numFmtId="0" fontId="26" fillId="0" borderId="78" xfId="6" applyFont="1" applyBorder="1"/>
    <xf numFmtId="0" fontId="29" fillId="0" borderId="59" xfId="0" applyFont="1" applyBorder="1" applyAlignment="1">
      <alignment horizontal="center"/>
    </xf>
    <xf numFmtId="0" fontId="29" fillId="0" borderId="78" xfId="0" applyFont="1" applyBorder="1"/>
    <xf numFmtId="0" fontId="29" fillId="0" borderId="0" xfId="0" applyFont="1"/>
    <xf numFmtId="0" fontId="29" fillId="0" borderId="89" xfId="0" applyFont="1" applyBorder="1"/>
    <xf numFmtId="0" fontId="29" fillId="0" borderId="60" xfId="0" applyFont="1" applyBorder="1"/>
    <xf numFmtId="164" fontId="29" fillId="0" borderId="60" xfId="1" applyNumberFormat="1" applyFont="1" applyBorder="1"/>
    <xf numFmtId="0" fontId="29" fillId="0" borderId="61" xfId="0" applyFont="1" applyBorder="1"/>
    <xf numFmtId="0" fontId="0" fillId="0" borderId="67" xfId="0" applyBorder="1" applyAlignment="1">
      <alignment horizontal="center"/>
    </xf>
    <xf numFmtId="0" fontId="0" fillId="0" borderId="85" xfId="0" applyBorder="1"/>
    <xf numFmtId="0" fontId="0" fillId="0" borderId="70" xfId="0" applyBorder="1"/>
    <xf numFmtId="0" fontId="0" fillId="0" borderId="86" xfId="0" applyBorder="1"/>
    <xf numFmtId="0" fontId="0" fillId="0" borderId="68" xfId="0" applyBorder="1"/>
    <xf numFmtId="164" fontId="0" fillId="0" borderId="68" xfId="1" applyNumberFormat="1" applyFont="1" applyBorder="1"/>
    <xf numFmtId="0" fontId="0" fillId="0" borderId="69" xfId="0" applyBorder="1"/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10" borderId="54" xfId="0" applyFont="1" applyFill="1" applyBorder="1" applyAlignment="1">
      <alignment horizontal="center" vertical="center"/>
    </xf>
    <xf numFmtId="0" fontId="31" fillId="0" borderId="92" xfId="0" applyFont="1" applyBorder="1" applyAlignment="1">
      <alignment vertical="center"/>
    </xf>
    <xf numFmtId="0" fontId="31" fillId="0" borderId="93" xfId="0" applyFont="1" applyBorder="1" applyAlignment="1">
      <alignment vertical="center"/>
    </xf>
    <xf numFmtId="0" fontId="31" fillId="0" borderId="94" xfId="0" applyFont="1" applyBorder="1" applyAlignment="1">
      <alignment vertical="center"/>
    </xf>
    <xf numFmtId="0" fontId="31" fillId="0" borderId="95" xfId="0" applyFont="1" applyBorder="1" applyAlignment="1">
      <alignment vertical="center"/>
    </xf>
    <xf numFmtId="0" fontId="31" fillId="0" borderId="96" xfId="0" applyFont="1" applyBorder="1" applyAlignment="1">
      <alignment vertical="center"/>
    </xf>
    <xf numFmtId="0" fontId="31" fillId="0" borderId="98" xfId="0" applyFont="1" applyBorder="1" applyAlignment="1">
      <alignment vertical="center"/>
    </xf>
    <xf numFmtId="0" fontId="31" fillId="0" borderId="99" xfId="0" applyFont="1" applyBorder="1" applyAlignment="1">
      <alignment vertical="center"/>
    </xf>
    <xf numFmtId="0" fontId="31" fillId="0" borderId="100" xfId="0" applyFont="1" applyBorder="1" applyAlignment="1">
      <alignment vertical="center"/>
    </xf>
    <xf numFmtId="0" fontId="31" fillId="0" borderId="101" xfId="0" applyFont="1" applyBorder="1" applyAlignment="1">
      <alignment horizontal="center" vertical="center"/>
    </xf>
    <xf numFmtId="178" fontId="31" fillId="0" borderId="101" xfId="2" applyNumberFormat="1" applyFont="1" applyBorder="1" applyAlignment="1">
      <alignment vertical="center"/>
    </xf>
    <xf numFmtId="0" fontId="31" fillId="0" borderId="102" xfId="0" applyFont="1" applyBorder="1" applyAlignment="1">
      <alignment vertical="center"/>
    </xf>
    <xf numFmtId="0" fontId="32" fillId="11" borderId="103" xfId="0" applyFont="1" applyFill="1" applyBorder="1" applyAlignment="1">
      <alignment horizontal="center" vertical="center"/>
    </xf>
    <xf numFmtId="0" fontId="31" fillId="0" borderId="104" xfId="0" applyFont="1" applyBorder="1" applyAlignment="1">
      <alignment vertical="center"/>
    </xf>
    <xf numFmtId="0" fontId="31" fillId="0" borderId="105" xfId="0" applyFont="1" applyBorder="1" applyAlignment="1">
      <alignment vertical="center"/>
    </xf>
    <xf numFmtId="0" fontId="31" fillId="0" borderId="106" xfId="0" applyFont="1" applyBorder="1" applyAlignment="1">
      <alignment vertical="center"/>
    </xf>
    <xf numFmtId="0" fontId="31" fillId="0" borderId="107" xfId="0" applyFont="1" applyBorder="1" applyAlignment="1">
      <alignment vertical="center"/>
    </xf>
    <xf numFmtId="0" fontId="31" fillId="0" borderId="108" xfId="0" applyFont="1" applyBorder="1" applyAlignment="1">
      <alignment vertical="center"/>
    </xf>
    <xf numFmtId="49" fontId="33" fillId="0" borderId="109" xfId="0" applyNumberFormat="1" applyFont="1" applyBorder="1" applyAlignment="1">
      <alignment vertical="center"/>
    </xf>
    <xf numFmtId="0" fontId="31" fillId="0" borderId="110" xfId="0" applyFont="1" applyBorder="1" applyAlignment="1">
      <alignment vertical="center"/>
    </xf>
    <xf numFmtId="0" fontId="31" fillId="0" borderId="111" xfId="0" applyFont="1" applyBorder="1" applyAlignment="1">
      <alignment vertical="center"/>
    </xf>
    <xf numFmtId="0" fontId="33" fillId="0" borderId="109" xfId="0" applyFont="1" applyBorder="1" applyAlignment="1">
      <alignment vertical="center"/>
    </xf>
    <xf numFmtId="0" fontId="31" fillId="0" borderId="112" xfId="0" applyFont="1" applyBorder="1" applyAlignment="1">
      <alignment vertical="center"/>
    </xf>
    <xf numFmtId="0" fontId="33" fillId="0" borderId="111" xfId="0" applyFont="1" applyBorder="1" applyAlignment="1">
      <alignment vertical="center"/>
    </xf>
    <xf numFmtId="0" fontId="22" fillId="0" borderId="99" xfId="6" applyFont="1" applyBorder="1"/>
    <xf numFmtId="0" fontId="31" fillId="0" borderId="113" xfId="0" applyFont="1" applyBorder="1" applyAlignment="1">
      <alignment vertical="center"/>
    </xf>
    <xf numFmtId="0" fontId="31" fillId="0" borderId="101" xfId="0" applyFont="1" applyBorder="1" applyAlignment="1">
      <alignment vertical="center"/>
    </xf>
    <xf numFmtId="179" fontId="31" fillId="0" borderId="101" xfId="1" applyNumberFormat="1" applyFont="1" applyBorder="1" applyAlignment="1">
      <alignment vertical="center"/>
    </xf>
    <xf numFmtId="0" fontId="31" fillId="0" borderId="115" xfId="0" applyFont="1" applyBorder="1" applyAlignment="1">
      <alignment vertical="center"/>
    </xf>
    <xf numFmtId="0" fontId="31" fillId="0" borderId="116" xfId="0" applyFont="1" applyBorder="1" applyAlignment="1">
      <alignment vertical="center"/>
    </xf>
    <xf numFmtId="0" fontId="31" fillId="0" borderId="117" xfId="0" applyFont="1" applyBorder="1" applyAlignment="1">
      <alignment vertical="center"/>
    </xf>
    <xf numFmtId="0" fontId="31" fillId="0" borderId="118" xfId="0" applyFont="1" applyBorder="1" applyAlignment="1">
      <alignment vertical="center"/>
    </xf>
    <xf numFmtId="0" fontId="31" fillId="0" borderId="119" xfId="0" applyFont="1" applyBorder="1" applyAlignment="1">
      <alignment vertical="center"/>
    </xf>
    <xf numFmtId="0" fontId="31" fillId="0" borderId="0" xfId="0" applyFont="1" applyAlignment="1">
      <alignment horizontal="centerContinuous" vertical="center"/>
    </xf>
    <xf numFmtId="0" fontId="32" fillId="0" borderId="0" xfId="0" applyFont="1" applyAlignment="1">
      <alignment horizontal="centerContinuous" vertical="center"/>
    </xf>
    <xf numFmtId="0" fontId="35" fillId="0" borderId="0" xfId="0" applyFont="1" applyAlignment="1">
      <alignment horizontal="centerContinuous" vertical="center"/>
    </xf>
    <xf numFmtId="164" fontId="0" fillId="0" borderId="2" xfId="0" applyNumberFormat="1" applyBorder="1"/>
    <xf numFmtId="0" fontId="0" fillId="0" borderId="30" xfId="0" applyBorder="1" applyAlignment="1">
      <alignment wrapText="1"/>
    </xf>
    <xf numFmtId="0" fontId="1" fillId="3" borderId="28" xfId="0" applyFont="1" applyFill="1" applyBorder="1"/>
    <xf numFmtId="0" fontId="1" fillId="3" borderId="29" xfId="0" applyFont="1" applyFill="1" applyBorder="1"/>
    <xf numFmtId="0" fontId="0" fillId="3" borderId="31" xfId="0" applyFill="1" applyBorder="1"/>
    <xf numFmtId="0" fontId="0" fillId="3" borderId="29" xfId="0" applyFill="1" applyBorder="1"/>
    <xf numFmtId="2" fontId="0" fillId="0" borderId="0" xfId="0" applyNumberFormat="1"/>
    <xf numFmtId="2" fontId="0" fillId="0" borderId="18" xfId="0" applyNumberFormat="1" applyBorder="1" applyAlignment="1">
      <alignment horizontal="center"/>
    </xf>
    <xf numFmtId="2" fontId="0" fillId="0" borderId="9" xfId="0" applyNumberFormat="1" applyBorder="1"/>
    <xf numFmtId="2" fontId="0" fillId="0" borderId="6" xfId="0" applyNumberFormat="1" applyBorder="1"/>
    <xf numFmtId="0" fontId="14" fillId="3" borderId="0" xfId="0" applyFont="1" applyFill="1" applyAlignment="1">
      <alignment horizontal="center" vertical="center"/>
    </xf>
    <xf numFmtId="170" fontId="14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176" fontId="0" fillId="3" borderId="32" xfId="0" applyNumberFormat="1" applyFill="1" applyBorder="1"/>
    <xf numFmtId="2" fontId="0" fillId="0" borderId="2" xfId="0" applyNumberFormat="1" applyBorder="1"/>
    <xf numFmtId="164" fontId="0" fillId="0" borderId="3" xfId="0" applyNumberFormat="1" applyBorder="1"/>
    <xf numFmtId="164" fontId="0" fillId="0" borderId="46" xfId="0" applyNumberFormat="1" applyBorder="1"/>
    <xf numFmtId="164" fontId="0" fillId="0" borderId="9" xfId="0" applyNumberFormat="1" applyBorder="1"/>
    <xf numFmtId="164" fontId="0" fillId="0" borderId="45" xfId="0" applyNumberFormat="1" applyBorder="1"/>
    <xf numFmtId="164" fontId="0" fillId="0" borderId="2" xfId="1" applyNumberFormat="1" applyFont="1" applyBorder="1"/>
    <xf numFmtId="0" fontId="1" fillId="0" borderId="19" xfId="0" applyFont="1" applyBorder="1"/>
    <xf numFmtId="0" fontId="0" fillId="0" borderId="20" xfId="0" applyBorder="1" applyAlignment="1">
      <alignment horizontal="center"/>
    </xf>
    <xf numFmtId="0" fontId="1" fillId="0" borderId="127" xfId="0" applyFont="1" applyBorder="1"/>
    <xf numFmtId="0" fontId="0" fillId="0" borderId="128" xfId="0" applyBorder="1"/>
    <xf numFmtId="0" fontId="1" fillId="0" borderId="129" xfId="0" applyFont="1" applyBorder="1" applyAlignment="1">
      <alignment horizontal="center"/>
    </xf>
    <xf numFmtId="0" fontId="0" fillId="0" borderId="130" xfId="0" applyBorder="1"/>
    <xf numFmtId="0" fontId="0" fillId="0" borderId="131" xfId="0" applyBorder="1"/>
    <xf numFmtId="0" fontId="0" fillId="0" borderId="131" xfId="0" applyBorder="1" applyAlignment="1">
      <alignment horizontal="center"/>
    </xf>
    <xf numFmtId="0" fontId="0" fillId="0" borderId="133" xfId="0" applyBorder="1"/>
    <xf numFmtId="0" fontId="0" fillId="0" borderId="134" xfId="0" applyBorder="1"/>
    <xf numFmtId="0" fontId="0" fillId="0" borderId="134" xfId="0" applyBorder="1" applyAlignment="1">
      <alignment horizontal="center"/>
    </xf>
    <xf numFmtId="0" fontId="0" fillId="0" borderId="135" xfId="0" applyBorder="1"/>
    <xf numFmtId="0" fontId="18" fillId="0" borderId="14" xfId="0" applyFont="1" applyBorder="1" applyAlignment="1">
      <alignment vertical="center"/>
    </xf>
    <xf numFmtId="180" fontId="18" fillId="0" borderId="14" xfId="8" quotePrefix="1" applyNumberFormat="1" applyBorder="1" applyAlignment="1">
      <alignment horizontal="right" vertical="center"/>
    </xf>
    <xf numFmtId="0" fontId="14" fillId="0" borderId="72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0" fillId="0" borderId="0" xfId="5" applyAlignment="1">
      <alignment vertical="center"/>
    </xf>
    <xf numFmtId="0" fontId="10" fillId="0" borderId="0" xfId="5" applyAlignment="1">
      <alignment horizontal="center" vertical="center"/>
    </xf>
    <xf numFmtId="0" fontId="21" fillId="0" borderId="0" xfId="5" applyFont="1" applyAlignment="1">
      <alignment horizontal="right" vertical="center"/>
    </xf>
    <xf numFmtId="43" fontId="10" fillId="0" borderId="0" xfId="5" applyNumberFormat="1" applyAlignment="1">
      <alignment vertical="center"/>
    </xf>
    <xf numFmtId="0" fontId="18" fillId="0" borderId="0" xfId="0" applyFont="1" applyAlignment="1">
      <alignment vertical="center"/>
    </xf>
    <xf numFmtId="2" fontId="15" fillId="0" borderId="14" xfId="0" applyNumberFormat="1" applyFont="1" applyBorder="1" applyAlignment="1">
      <alignment horizontal="right" vertical="center"/>
    </xf>
    <xf numFmtId="0" fontId="18" fillId="0" borderId="99" xfId="6" applyBorder="1"/>
    <xf numFmtId="0" fontId="0" fillId="0" borderId="122" xfId="0" applyBorder="1" applyAlignment="1">
      <alignment horizontal="center"/>
    </xf>
    <xf numFmtId="164" fontId="1" fillId="0" borderId="9" xfId="0" applyNumberFormat="1" applyFont="1" applyBorder="1"/>
    <xf numFmtId="0" fontId="0" fillId="0" borderId="129" xfId="0" applyBorder="1"/>
    <xf numFmtId="0" fontId="0" fillId="0" borderId="45" xfId="0" applyBorder="1" applyAlignment="1">
      <alignment horizontal="center"/>
    </xf>
    <xf numFmtId="0" fontId="1" fillId="0" borderId="56" xfId="0" applyFont="1" applyBorder="1"/>
    <xf numFmtId="2" fontId="1" fillId="0" borderId="9" xfId="0" applyNumberFormat="1" applyFont="1" applyBorder="1"/>
    <xf numFmtId="0" fontId="1" fillId="0" borderId="79" xfId="0" applyFont="1" applyBorder="1" applyAlignment="1">
      <alignment horizontal="center" vertical="center"/>
    </xf>
    <xf numFmtId="164" fontId="0" fillId="0" borderId="22" xfId="0" applyNumberFormat="1" applyBorder="1"/>
    <xf numFmtId="164" fontId="0" fillId="0" borderId="127" xfId="0" applyNumberFormat="1" applyBorder="1"/>
    <xf numFmtId="164" fontId="1" fillId="0" borderId="36" xfId="0" applyNumberFormat="1" applyFont="1" applyBorder="1"/>
    <xf numFmtId="164" fontId="1" fillId="0" borderId="120" xfId="0" applyNumberFormat="1" applyFont="1" applyBorder="1"/>
    <xf numFmtId="179" fontId="0" fillId="0" borderId="3" xfId="1" applyNumberFormat="1" applyFont="1" applyBorder="1"/>
    <xf numFmtId="179" fontId="0" fillId="0" borderId="6" xfId="1" applyNumberFormat="1" applyFont="1" applyBorder="1"/>
    <xf numFmtId="179" fontId="0" fillId="0" borderId="9" xfId="1" applyNumberFormat="1" applyFont="1" applyBorder="1"/>
    <xf numFmtId="179" fontId="0" fillId="0" borderId="46" xfId="1" applyNumberFormat="1" applyFont="1" applyBorder="1"/>
    <xf numFmtId="179" fontId="1" fillId="0" borderId="9" xfId="1" applyNumberFormat="1" applyFont="1" applyBorder="1"/>
    <xf numFmtId="179" fontId="1" fillId="0" borderId="15" xfId="1" applyNumberFormat="1" applyFont="1" applyBorder="1"/>
    <xf numFmtId="0" fontId="1" fillId="0" borderId="21" xfId="0" applyFont="1" applyBorder="1"/>
    <xf numFmtId="0" fontId="1" fillId="0" borderId="24" xfId="0" applyFont="1" applyBorder="1"/>
    <xf numFmtId="0" fontId="0" fillId="0" borderId="127" xfId="0" applyBorder="1"/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1" fillId="0" borderId="14" xfId="0" applyFont="1" applyBorder="1"/>
    <xf numFmtId="164" fontId="1" fillId="0" borderId="14" xfId="0" applyNumberFormat="1" applyFont="1" applyBorder="1"/>
    <xf numFmtId="2" fontId="1" fillId="0" borderId="15" xfId="0" applyNumberFormat="1" applyFont="1" applyBorder="1"/>
    <xf numFmtId="0" fontId="0" fillId="0" borderId="17" xfId="0" applyBorder="1" applyAlignment="1">
      <alignment horizontal="center" vertical="center"/>
    </xf>
    <xf numFmtId="0" fontId="0" fillId="0" borderId="17" xfId="0" applyBorder="1"/>
    <xf numFmtId="1" fontId="0" fillId="0" borderId="18" xfId="1" applyNumberFormat="1" applyFont="1" applyBorder="1" applyAlignment="1">
      <alignment horizontal="right"/>
    </xf>
    <xf numFmtId="167" fontId="0" fillId="0" borderId="2" xfId="0" applyNumberFormat="1" applyBorder="1"/>
    <xf numFmtId="179" fontId="0" fillId="0" borderId="2" xfId="0" applyNumberFormat="1" applyBorder="1"/>
    <xf numFmtId="179" fontId="0" fillId="0" borderId="13" xfId="0" applyNumberFormat="1" applyBorder="1"/>
    <xf numFmtId="179" fontId="0" fillId="0" borderId="14" xfId="0" applyNumberFormat="1" applyBorder="1"/>
    <xf numFmtId="179" fontId="0" fillId="0" borderId="15" xfId="0" applyNumberFormat="1" applyBorder="1"/>
    <xf numFmtId="167" fontId="0" fillId="0" borderId="16" xfId="0" applyNumberFormat="1" applyBorder="1"/>
    <xf numFmtId="167" fontId="0" fillId="0" borderId="17" xfId="0" applyNumberFormat="1" applyBorder="1"/>
    <xf numFmtId="167" fontId="0" fillId="0" borderId="18" xfId="0" applyNumberFormat="1" applyBorder="1"/>
    <xf numFmtId="0" fontId="0" fillId="0" borderId="142" xfId="0" applyBorder="1"/>
    <xf numFmtId="0" fontId="0" fillId="0" borderId="143" xfId="0" applyBorder="1"/>
    <xf numFmtId="0" fontId="0" fillId="0" borderId="144" xfId="0" applyBorder="1"/>
    <xf numFmtId="0" fontId="0" fillId="0" borderId="46" xfId="0" applyBorder="1"/>
    <xf numFmtId="179" fontId="0" fillId="12" borderId="1" xfId="0" applyNumberFormat="1" applyFill="1" applyBorder="1"/>
    <xf numFmtId="167" fontId="0" fillId="12" borderId="1" xfId="0" applyNumberFormat="1" applyFill="1" applyBorder="1"/>
    <xf numFmtId="179" fontId="0" fillId="12" borderId="2" xfId="0" applyNumberFormat="1" applyFill="1" applyBorder="1"/>
    <xf numFmtId="167" fontId="0" fillId="12" borderId="2" xfId="0" applyNumberFormat="1" applyFill="1" applyBorder="1"/>
    <xf numFmtId="167" fontId="0" fillId="12" borderId="3" xfId="0" applyNumberFormat="1" applyFill="1" applyBorder="1"/>
    <xf numFmtId="0" fontId="0" fillId="12" borderId="2" xfId="0" applyFill="1" applyBorder="1"/>
    <xf numFmtId="179" fontId="0" fillId="12" borderId="3" xfId="0" applyNumberFormat="1" applyFill="1" applyBorder="1"/>
    <xf numFmtId="0" fontId="1" fillId="3" borderId="14" xfId="0" applyFont="1" applyFill="1" applyBorder="1" applyAlignment="1">
      <alignment horizontal="center" vertical="center"/>
    </xf>
    <xf numFmtId="0" fontId="1" fillId="3" borderId="79" xfId="0" applyFont="1" applyFill="1" applyBorder="1" applyAlignment="1">
      <alignment horizontal="center" vertical="center"/>
    </xf>
    <xf numFmtId="0" fontId="40" fillId="3" borderId="16" xfId="0" applyFont="1" applyFill="1" applyBorder="1" applyAlignment="1">
      <alignment horizontal="center"/>
    </xf>
    <xf numFmtId="0" fontId="40" fillId="3" borderId="17" xfId="0" applyFont="1" applyFill="1" applyBorder="1" applyAlignment="1">
      <alignment horizontal="center"/>
    </xf>
    <xf numFmtId="0" fontId="40" fillId="3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2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0" fillId="0" borderId="122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124" xfId="0" applyBorder="1" applyAlignment="1">
      <alignment horizontal="center"/>
    </xf>
    <xf numFmtId="0" fontId="1" fillId="0" borderId="125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1" fillId="6" borderId="10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/>
    </xf>
    <xf numFmtId="0" fontId="0" fillId="6" borderId="17" xfId="0" applyFill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5" fillId="0" borderId="2" xfId="3" applyNumberFormat="1" applyFont="1" applyBorder="1" applyAlignment="1">
      <alignment horizontal="center" vertical="center"/>
    </xf>
    <xf numFmtId="0" fontId="15" fillId="0" borderId="45" xfId="3" applyNumberFormat="1" applyFont="1" applyBorder="1" applyAlignment="1">
      <alignment horizontal="center" vertical="center"/>
    </xf>
    <xf numFmtId="41" fontId="38" fillId="0" borderId="0" xfId="3" applyFont="1" applyAlignment="1">
      <alignment horizontal="center" vertical="center"/>
    </xf>
    <xf numFmtId="41" fontId="39" fillId="0" borderId="0" xfId="3" applyFont="1" applyAlignment="1">
      <alignment horizontal="center" vertical="center"/>
    </xf>
    <xf numFmtId="172" fontId="12" fillId="0" borderId="53" xfId="3" applyNumberFormat="1" applyFont="1" applyBorder="1" applyAlignment="1">
      <alignment horizontal="center" vertical="center"/>
    </xf>
    <xf numFmtId="172" fontId="12" fillId="0" borderId="56" xfId="3" applyNumberFormat="1" applyFont="1" applyBorder="1" applyAlignment="1">
      <alignment horizontal="center" vertical="center"/>
    </xf>
    <xf numFmtId="172" fontId="12" fillId="0" borderId="53" xfId="3" applyNumberFormat="1" applyFont="1" applyBorder="1" applyAlignment="1">
      <alignment horizontal="center" vertical="center" wrapText="1"/>
    </xf>
    <xf numFmtId="172" fontId="12" fillId="0" borderId="56" xfId="3" applyNumberFormat="1" applyFont="1" applyBorder="1" applyAlignment="1">
      <alignment horizontal="center" vertical="center" wrapText="1"/>
    </xf>
    <xf numFmtId="0" fontId="15" fillId="0" borderId="8" xfId="3" applyNumberFormat="1" applyFont="1" applyBorder="1" applyAlignment="1">
      <alignment horizontal="center" vertical="center"/>
    </xf>
    <xf numFmtId="0" fontId="24" fillId="9" borderId="79" xfId="0" applyFont="1" applyFill="1" applyBorder="1" applyAlignment="1">
      <alignment horizontal="center" vertical="center"/>
    </xf>
    <xf numFmtId="0" fontId="24" fillId="9" borderId="80" xfId="0" applyFont="1" applyFill="1" applyBorder="1" applyAlignment="1">
      <alignment horizontal="center" vertical="center"/>
    </xf>
    <xf numFmtId="0" fontId="24" fillId="9" borderId="72" xfId="0" applyFont="1" applyFill="1" applyBorder="1" applyAlignment="1">
      <alignment horizontal="center" vertical="center"/>
    </xf>
    <xf numFmtId="0" fontId="1" fillId="10" borderId="62" xfId="0" applyFont="1" applyFill="1" applyBorder="1" applyAlignment="1">
      <alignment horizontal="center" vertical="center"/>
    </xf>
    <xf numFmtId="0" fontId="1" fillId="10" borderId="65" xfId="0" applyFont="1" applyFill="1" applyBorder="1" applyAlignment="1">
      <alignment horizontal="center" vertical="center"/>
    </xf>
    <xf numFmtId="0" fontId="1" fillId="10" borderId="81" xfId="0" applyFont="1" applyFill="1" applyBorder="1" applyAlignment="1">
      <alignment horizontal="center" vertical="center"/>
    </xf>
    <xf numFmtId="0" fontId="1" fillId="10" borderId="82" xfId="0" applyFont="1" applyFill="1" applyBorder="1" applyAlignment="1">
      <alignment horizontal="center" vertical="center"/>
    </xf>
    <xf numFmtId="0" fontId="1" fillId="10" borderId="83" xfId="0" applyFont="1" applyFill="1" applyBorder="1" applyAlignment="1">
      <alignment horizontal="center" vertical="center"/>
    </xf>
    <xf numFmtId="0" fontId="1" fillId="10" borderId="85" xfId="0" applyFont="1" applyFill="1" applyBorder="1" applyAlignment="1">
      <alignment horizontal="center" vertical="center"/>
    </xf>
    <xf numFmtId="0" fontId="1" fillId="10" borderId="70" xfId="0" applyFont="1" applyFill="1" applyBorder="1" applyAlignment="1">
      <alignment horizontal="center" vertical="center"/>
    </xf>
    <xf numFmtId="0" fontId="1" fillId="10" borderId="86" xfId="0" applyFont="1" applyFill="1" applyBorder="1" applyAlignment="1">
      <alignment horizontal="center" vertical="center"/>
    </xf>
    <xf numFmtId="0" fontId="1" fillId="10" borderId="63" xfId="0" applyFont="1" applyFill="1" applyBorder="1" applyAlignment="1">
      <alignment horizontal="center" vertical="center"/>
    </xf>
    <xf numFmtId="0" fontId="1" fillId="10" borderId="54" xfId="0" applyFont="1" applyFill="1" applyBorder="1" applyAlignment="1">
      <alignment horizontal="center" vertical="center"/>
    </xf>
    <xf numFmtId="0" fontId="1" fillId="10" borderId="84" xfId="0" applyFont="1" applyFill="1" applyBorder="1" applyAlignment="1">
      <alignment horizontal="center" vertical="center" wrapText="1"/>
    </xf>
    <xf numFmtId="0" fontId="1" fillId="10" borderId="68" xfId="0" applyFont="1" applyFill="1" applyBorder="1" applyAlignment="1">
      <alignment horizontal="center" vertical="center" wrapText="1"/>
    </xf>
    <xf numFmtId="0" fontId="1" fillId="10" borderId="64" xfId="0" applyFont="1" applyFill="1" applyBorder="1" applyAlignment="1">
      <alignment horizontal="center" vertical="center"/>
    </xf>
    <xf numFmtId="0" fontId="1" fillId="10" borderId="66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2" fillId="10" borderId="62" xfId="0" applyFont="1" applyFill="1" applyBorder="1" applyAlignment="1">
      <alignment horizontal="center" vertical="center"/>
    </xf>
    <xf numFmtId="0" fontId="32" fillId="10" borderId="65" xfId="0" applyFont="1" applyFill="1" applyBorder="1" applyAlignment="1">
      <alignment horizontal="center" vertical="center"/>
    </xf>
    <xf numFmtId="0" fontId="32" fillId="10" borderId="63" xfId="0" applyFont="1" applyFill="1" applyBorder="1" applyAlignment="1">
      <alignment horizontal="center" vertical="center"/>
    </xf>
    <xf numFmtId="0" fontId="32" fillId="10" borderId="54" xfId="0" applyFont="1" applyFill="1" applyBorder="1" applyAlignment="1">
      <alignment horizontal="center" vertical="center"/>
    </xf>
    <xf numFmtId="0" fontId="32" fillId="10" borderId="64" xfId="0" applyFont="1" applyFill="1" applyBorder="1" applyAlignment="1">
      <alignment horizontal="center" vertical="center"/>
    </xf>
    <xf numFmtId="0" fontId="32" fillId="10" borderId="66" xfId="0" applyFont="1" applyFill="1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0" fontId="3" fillId="12" borderId="0" xfId="0" applyFont="1" applyFill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" fillId="3" borderId="125" xfId="0" applyFont="1" applyFill="1" applyBorder="1" applyAlignment="1">
      <alignment horizontal="center" vertical="center"/>
    </xf>
    <xf numFmtId="0" fontId="1" fillId="3" borderId="14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40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120" xfId="0" applyFont="1" applyFill="1" applyBorder="1" applyAlignment="1">
      <alignment horizontal="center" vertical="center"/>
    </xf>
    <xf numFmtId="0" fontId="1" fillId="3" borderId="121" xfId="0" applyFont="1" applyFill="1" applyBorder="1" applyAlignment="1">
      <alignment horizontal="center" vertical="center"/>
    </xf>
    <xf numFmtId="0" fontId="43" fillId="0" borderId="2" xfId="0" applyFont="1" applyBorder="1" applyAlignment="1">
      <alignment vertical="center" wrapText="1"/>
    </xf>
    <xf numFmtId="0" fontId="41" fillId="0" borderId="47" xfId="0" applyFont="1" applyBorder="1" applyAlignment="1">
      <alignment horizontal="center" vertical="center" wrapText="1"/>
    </xf>
    <xf numFmtId="41" fontId="41" fillId="0" borderId="48" xfId="3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wrapText="1"/>
    </xf>
    <xf numFmtId="0" fontId="41" fillId="0" borderId="73" xfId="0" applyFont="1" applyBorder="1" applyAlignment="1">
      <alignment horizontal="center" vertical="center" wrapText="1"/>
    </xf>
    <xf numFmtId="41" fontId="41" fillId="0" borderId="49" xfId="3" applyFont="1" applyBorder="1" applyAlignment="1">
      <alignment horizontal="center" vertical="center" wrapText="1"/>
    </xf>
    <xf numFmtId="0" fontId="42" fillId="0" borderId="76" xfId="0" applyFont="1" applyBorder="1" applyAlignment="1">
      <alignment horizontal="center" vertical="center" wrapText="1"/>
    </xf>
    <xf numFmtId="49" fontId="43" fillId="0" borderId="2" xfId="0" applyNumberFormat="1" applyFont="1" applyBorder="1" applyAlignment="1">
      <alignment vertical="center" wrapText="1"/>
    </xf>
    <xf numFmtId="164" fontId="42" fillId="0" borderId="77" xfId="3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41" fontId="13" fillId="0" borderId="0" xfId="3" applyFont="1" applyAlignment="1">
      <alignment horizontal="center" vertical="center"/>
    </xf>
    <xf numFmtId="0" fontId="42" fillId="0" borderId="8" xfId="0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43" fillId="0" borderId="137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2" fillId="0" borderId="74" xfId="0" applyFont="1" applyBorder="1" applyAlignment="1">
      <alignment vertical="center" wrapText="1"/>
    </xf>
    <xf numFmtId="0" fontId="42" fillId="0" borderId="36" xfId="0" applyFont="1" applyBorder="1" applyAlignment="1">
      <alignment horizontal="center" vertical="center" wrapText="1"/>
    </xf>
    <xf numFmtId="164" fontId="42" fillId="0" borderId="75" xfId="3" applyNumberFormat="1" applyFont="1" applyBorder="1" applyAlignment="1">
      <alignment vertical="center" wrapText="1"/>
    </xf>
    <xf numFmtId="0" fontId="42" fillId="0" borderId="76" xfId="0" applyFont="1" applyBorder="1" applyAlignment="1">
      <alignment vertical="center" wrapText="1"/>
    </xf>
    <xf numFmtId="0" fontId="42" fillId="0" borderId="22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164" fontId="43" fillId="0" borderId="77" xfId="3" applyNumberFormat="1" applyFont="1" applyBorder="1" applyAlignment="1">
      <alignment vertical="center" wrapText="1"/>
    </xf>
    <xf numFmtId="0" fontId="43" fillId="0" borderId="29" xfId="0" applyFont="1" applyBorder="1" applyAlignment="1">
      <alignment horizontal="center" vertical="center" wrapText="1"/>
    </xf>
    <xf numFmtId="0" fontId="42" fillId="0" borderId="136" xfId="0" applyFont="1" applyBorder="1" applyAlignment="1">
      <alignment horizontal="center" vertical="center" wrapText="1"/>
    </xf>
    <xf numFmtId="49" fontId="43" fillId="0" borderId="137" xfId="0" applyNumberFormat="1" applyFont="1" applyBorder="1" applyAlignment="1">
      <alignment vertical="center" wrapText="1"/>
    </xf>
    <xf numFmtId="0" fontId="43" fillId="0" borderId="138" xfId="0" applyFont="1" applyBorder="1" applyAlignment="1">
      <alignment horizontal="center" vertical="center" wrapText="1"/>
    </xf>
    <xf numFmtId="164" fontId="42" fillId="0" borderId="139" xfId="3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41" fontId="0" fillId="0" borderId="0" xfId="3" applyFont="1" applyAlignment="1">
      <alignment vertical="center"/>
    </xf>
    <xf numFmtId="0" fontId="41" fillId="0" borderId="22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49" fontId="44" fillId="0" borderId="22" xfId="0" applyNumberFormat="1" applyFont="1" applyBorder="1" applyAlignment="1">
      <alignment horizontal="left" vertical="center" wrapText="1"/>
    </xf>
    <xf numFmtId="49" fontId="44" fillId="0" borderId="24" xfId="0" applyNumberFormat="1" applyFont="1" applyBorder="1" applyAlignment="1">
      <alignment horizontal="left" vertical="center" wrapText="1"/>
    </xf>
    <xf numFmtId="41" fontId="14" fillId="0" borderId="0" xfId="3" applyFont="1" applyAlignment="1">
      <alignment horizontal="center" vertical="center"/>
    </xf>
    <xf numFmtId="41" fontId="42" fillId="0" borderId="8" xfId="3" applyFont="1" applyBorder="1" applyAlignment="1">
      <alignment horizontal="center" vertical="center" wrapText="1"/>
    </xf>
    <xf numFmtId="41" fontId="44" fillId="0" borderId="2" xfId="3" applyFont="1" applyBorder="1" applyAlignment="1">
      <alignment horizontal="center" vertical="center" wrapText="1"/>
    </xf>
    <xf numFmtId="41" fontId="42" fillId="0" borderId="2" xfId="3" applyFont="1" applyBorder="1" applyAlignment="1">
      <alignment horizontal="center" vertical="center" wrapText="1"/>
    </xf>
    <xf numFmtId="41" fontId="42" fillId="3" borderId="2" xfId="3" applyFont="1" applyFill="1" applyBorder="1" applyAlignment="1">
      <alignment horizontal="center" vertical="center" wrapText="1"/>
    </xf>
    <xf numFmtId="41" fontId="41" fillId="0" borderId="2" xfId="3" applyFont="1" applyBorder="1" applyAlignment="1">
      <alignment horizontal="center" vertical="center" wrapText="1"/>
    </xf>
    <xf numFmtId="41" fontId="42" fillId="3" borderId="32" xfId="3" applyFont="1" applyFill="1" applyBorder="1" applyAlignment="1">
      <alignment horizontal="center" vertical="center" wrapText="1"/>
    </xf>
    <xf numFmtId="41" fontId="42" fillId="0" borderId="137" xfId="3" applyFont="1" applyBorder="1" applyAlignment="1">
      <alignment horizontal="center" vertical="center" wrapText="1"/>
    </xf>
    <xf numFmtId="41" fontId="41" fillId="0" borderId="2" xfId="3" applyFont="1" applyFill="1" applyBorder="1" applyAlignment="1">
      <alignment horizontal="center" vertical="center" wrapText="1"/>
    </xf>
    <xf numFmtId="0" fontId="41" fillId="0" borderId="22" xfId="0" applyFont="1" applyBorder="1" applyAlignment="1">
      <alignment vertical="center" wrapText="1"/>
    </xf>
    <xf numFmtId="0" fontId="41" fillId="0" borderId="24" xfId="0" applyFont="1" applyBorder="1" applyAlignment="1">
      <alignment vertical="center" wrapText="1"/>
    </xf>
    <xf numFmtId="0" fontId="0" fillId="0" borderId="70" xfId="0" applyBorder="1" applyAlignment="1">
      <alignment horizontal="left" wrapText="1"/>
    </xf>
    <xf numFmtId="0" fontId="0" fillId="0" borderId="70" xfId="0" applyBorder="1" applyAlignment="1">
      <alignment horizontal="left" vertical="center" wrapText="1"/>
    </xf>
    <xf numFmtId="0" fontId="0" fillId="0" borderId="70" xfId="0" applyBorder="1" applyAlignment="1">
      <alignment horizontal="left" vertical="top" wrapText="1"/>
    </xf>
    <xf numFmtId="41" fontId="45" fillId="0" borderId="0" xfId="3" applyFont="1" applyAlignment="1">
      <alignment horizontal="left" vertical="center"/>
    </xf>
    <xf numFmtId="172" fontId="46" fillId="0" borderId="0" xfId="3" applyNumberFormat="1" applyFont="1" applyBorder="1" applyAlignment="1">
      <alignment horizontal="left" vertical="center"/>
    </xf>
    <xf numFmtId="172" fontId="12" fillId="0" borderId="0" xfId="3" applyNumberFormat="1" applyFont="1" applyBorder="1" applyAlignment="1">
      <alignment horizontal="right" vertical="center"/>
    </xf>
    <xf numFmtId="172" fontId="13" fillId="0" borderId="0" xfId="3" applyNumberFormat="1" applyFont="1" applyBorder="1" applyAlignment="1">
      <alignment vertical="center"/>
    </xf>
    <xf numFmtId="172" fontId="12" fillId="0" borderId="0" xfId="3" applyNumberFormat="1" applyFont="1" applyBorder="1" applyAlignment="1">
      <alignment horizontal="center" vertical="center"/>
    </xf>
    <xf numFmtId="172" fontId="13" fillId="0" borderId="0" xfId="3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46" fillId="0" borderId="0" xfId="0" applyFont="1" applyAlignment="1">
      <alignment horizontal="left" vertical="center"/>
    </xf>
    <xf numFmtId="0" fontId="0" fillId="0" borderId="61" xfId="0" applyFill="1" applyBorder="1"/>
    <xf numFmtId="0" fontId="31" fillId="0" borderId="0" xfId="0" applyFont="1" applyAlignment="1">
      <alignment horizontal="center" vertical="center"/>
    </xf>
    <xf numFmtId="0" fontId="31" fillId="0" borderId="91" xfId="0" applyFont="1" applyBorder="1" applyAlignment="1">
      <alignment horizontal="center" vertical="center"/>
    </xf>
    <xf numFmtId="0" fontId="31" fillId="0" borderId="97" xfId="0" applyFont="1" applyBorder="1" applyAlignment="1">
      <alignment horizontal="center" vertical="center"/>
    </xf>
    <xf numFmtId="0" fontId="31" fillId="0" borderId="114" xfId="0" applyFont="1" applyBorder="1" applyAlignment="1">
      <alignment horizontal="center" vertical="center"/>
    </xf>
    <xf numFmtId="0" fontId="31" fillId="0" borderId="145" xfId="0" applyFont="1" applyBorder="1" applyAlignment="1">
      <alignment horizontal="center" vertical="center"/>
    </xf>
    <xf numFmtId="0" fontId="31" fillId="0" borderId="146" xfId="0" applyFont="1" applyBorder="1" applyAlignment="1">
      <alignment vertical="center"/>
    </xf>
    <xf numFmtId="0" fontId="31" fillId="0" borderId="147" xfId="0" applyFont="1" applyBorder="1" applyAlignment="1">
      <alignment vertical="center"/>
    </xf>
    <xf numFmtId="0" fontId="31" fillId="0" borderId="148" xfId="0" applyFont="1" applyBorder="1" applyAlignment="1">
      <alignment horizontal="center" vertical="center"/>
    </xf>
    <xf numFmtId="178" fontId="31" fillId="0" borderId="148" xfId="2" applyNumberFormat="1" applyFont="1" applyBorder="1" applyAlignment="1">
      <alignment vertical="center"/>
    </xf>
    <xf numFmtId="166" fontId="31" fillId="0" borderId="149" xfId="0" applyNumberFormat="1" applyFont="1" applyBorder="1" applyAlignment="1">
      <alignment vertical="center"/>
    </xf>
    <xf numFmtId="0" fontId="31" fillId="0" borderId="118" xfId="0" applyFont="1" applyBorder="1" applyAlignment="1">
      <alignment horizontal="center" vertical="center"/>
    </xf>
    <xf numFmtId="178" fontId="31" fillId="0" borderId="118" xfId="2" applyNumberFormat="1" applyFont="1" applyBorder="1" applyAlignment="1">
      <alignment vertical="center"/>
    </xf>
    <xf numFmtId="0" fontId="1" fillId="0" borderId="150" xfId="0" applyFont="1" applyBorder="1"/>
    <xf numFmtId="0" fontId="0" fillId="0" borderId="151" xfId="0" applyBorder="1"/>
    <xf numFmtId="0" fontId="0" fillId="0" borderId="0" xfId="0" applyBorder="1"/>
    <xf numFmtId="0" fontId="0" fillId="0" borderId="152" xfId="0" applyBorder="1"/>
    <xf numFmtId="0" fontId="0" fillId="0" borderId="26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3" borderId="26" xfId="0" applyFill="1" applyBorder="1"/>
    <xf numFmtId="2" fontId="0" fillId="3" borderId="26" xfId="0" applyNumberFormat="1" applyFill="1" applyBorder="1"/>
    <xf numFmtId="0" fontId="1" fillId="0" borderId="0" xfId="0" applyFont="1" applyBorder="1"/>
    <xf numFmtId="164" fontId="1" fillId="0" borderId="141" xfId="0" applyNumberFormat="1" applyFont="1" applyBorder="1"/>
    <xf numFmtId="0" fontId="1" fillId="0" borderId="131" xfId="0" applyFont="1" applyBorder="1"/>
    <xf numFmtId="164" fontId="1" fillId="0" borderId="132" xfId="0" applyNumberFormat="1" applyFont="1" applyBorder="1"/>
  </cellXfs>
  <cellStyles count="9">
    <cellStyle name="Comma" xfId="2" builtinId="3"/>
    <cellStyle name="Comma [0]" xfId="1" builtinId="6"/>
    <cellStyle name="Comma [0] 11 3" xfId="7" xr:uid="{941782A2-0715-4D88-A89C-667906DCA9B8}"/>
    <cellStyle name="Comma [0] 4" xfId="3" xr:uid="{AB7BD4CE-72CB-4A5B-97E9-659605C22C03}"/>
    <cellStyle name="Normal" xfId="0" builtinId="0"/>
    <cellStyle name="Normal 2" xfId="5" xr:uid="{70CB2232-BDE2-4F5A-ABC1-316FC974D4C7}"/>
    <cellStyle name="Normal_Analisa Harga Satuan (version 2)" xfId="8" xr:uid="{FA17F40E-2327-416C-BEE7-E18C35E32467}"/>
    <cellStyle name="Normal_RAB-Konst.06" xfId="6" xr:uid="{21108A35-45A3-40DB-AF87-C22E0BB3649E}"/>
    <cellStyle name="Percent 2" xfId="4" xr:uid="{2BB71054-AEF6-424B-A123-205E8D6D4E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13068682335269E-2"/>
          <c:y val="1.4697354161262836E-2"/>
          <c:w val="0.90826566352439497"/>
          <c:h val="0.9853026352900922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'Time Schedulle &amp; Kurva S'!$J$137:$T$137</c:f>
              <c:numCache>
                <c:formatCode>_-* #,##0.00_-;\-* #,##0.00_-;_-* "-"??_-;_-@_-</c:formatCode>
                <c:ptCount val="11"/>
                <c:pt idx="0">
                  <c:v>3.6492349527433934</c:v>
                </c:pt>
                <c:pt idx="1">
                  <c:v>9.6235666597349905</c:v>
                </c:pt>
                <c:pt idx="2">
                  <c:v>22.192658923647215</c:v>
                </c:pt>
                <c:pt idx="3">
                  <c:v>35.902717102970428</c:v>
                </c:pt>
                <c:pt idx="4">
                  <c:v>45.851325491570726</c:v>
                </c:pt>
                <c:pt idx="5">
                  <c:v>59.242927481475689</c:v>
                </c:pt>
                <c:pt idx="6">
                  <c:v>71.631096110208574</c:v>
                </c:pt>
                <c:pt idx="7">
                  <c:v>80.258000017835499</c:v>
                </c:pt>
                <c:pt idx="8">
                  <c:v>91.028950437325577</c:v>
                </c:pt>
                <c:pt idx="9">
                  <c:v>96.998130545558809</c:v>
                </c:pt>
                <c:pt idx="10">
                  <c:v>99.979513223645213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B-484B-A4B6-E10D66A88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7571216"/>
        <c:axId val="1617572656"/>
      </c:lineChart>
      <c:catAx>
        <c:axId val="1617571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17572656"/>
        <c:crosses val="autoZero"/>
        <c:auto val="1"/>
        <c:lblAlgn val="ctr"/>
        <c:lblOffset val="100"/>
        <c:noMultiLvlLbl val="0"/>
      </c:catAx>
      <c:valAx>
        <c:axId val="1617572656"/>
        <c:scaling>
          <c:orientation val="minMax"/>
        </c:scaling>
        <c:delete val="1"/>
        <c:axPos val="l"/>
        <c:numFmt formatCode="_-* #,##0.00_-;\-* #,##0.00_-;_-* &quot;-&quot;??_-;_-@_-" sourceLinked="1"/>
        <c:majorTickMark val="none"/>
        <c:minorTickMark val="none"/>
        <c:tickLblPos val="nextTo"/>
        <c:crossAx val="161757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emf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69735</xdr:colOff>
      <xdr:row>14</xdr:row>
      <xdr:rowOff>71773</xdr:rowOff>
    </xdr:from>
    <xdr:to>
      <xdr:col>13</xdr:col>
      <xdr:colOff>28574</xdr:colOff>
      <xdr:row>30</xdr:row>
      <xdr:rowOff>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78214E-3B92-E8DE-1211-F68F94BEC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735" y="2414923"/>
          <a:ext cx="2625839" cy="2994707"/>
        </a:xfrm>
        <a:prstGeom prst="rect">
          <a:avLst/>
        </a:prstGeom>
      </xdr:spPr>
    </xdr:pic>
    <xdr:clientData/>
  </xdr:twoCellAnchor>
  <xdr:twoCellAnchor editAs="oneCell">
    <xdr:from>
      <xdr:col>4</xdr:col>
      <xdr:colOff>162923</xdr:colOff>
      <xdr:row>35</xdr:row>
      <xdr:rowOff>47626</xdr:rowOff>
    </xdr:from>
    <xdr:to>
      <xdr:col>9</xdr:col>
      <xdr:colOff>352092</xdr:colOff>
      <xdr:row>42</xdr:row>
      <xdr:rowOff>142648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35566BE-F4FE-9C00-57EF-5E299E280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8923" y="6200776"/>
          <a:ext cx="2094169" cy="1428522"/>
        </a:xfrm>
        <a:prstGeom prst="rect">
          <a:avLst/>
        </a:prstGeom>
      </xdr:spPr>
    </xdr:pic>
    <xdr:clientData/>
  </xdr:twoCellAnchor>
  <xdr:twoCellAnchor editAs="oneCell">
    <xdr:from>
      <xdr:col>4</xdr:col>
      <xdr:colOff>134939</xdr:colOff>
      <xdr:row>50</xdr:row>
      <xdr:rowOff>28575</xdr:rowOff>
    </xdr:from>
    <xdr:to>
      <xdr:col>10</xdr:col>
      <xdr:colOff>171111</xdr:colOff>
      <xdr:row>57</xdr:row>
      <xdr:rowOff>161710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7F81F4E-2242-7450-E42A-EBB47CE27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20939" y="8658225"/>
          <a:ext cx="2322172" cy="1466635"/>
        </a:xfrm>
        <a:prstGeom prst="rect">
          <a:avLst/>
        </a:prstGeom>
      </xdr:spPr>
    </xdr:pic>
    <xdr:clientData/>
  </xdr:twoCellAnchor>
  <xdr:twoCellAnchor editAs="oneCell">
    <xdr:from>
      <xdr:col>4</xdr:col>
      <xdr:colOff>67056</xdr:colOff>
      <xdr:row>89</xdr:row>
      <xdr:rowOff>0</xdr:rowOff>
    </xdr:from>
    <xdr:to>
      <xdr:col>10</xdr:col>
      <xdr:colOff>370852</xdr:colOff>
      <xdr:row>100</xdr:row>
      <xdr:rowOff>9019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C654DAD-8364-EE2C-57B8-AFADDEC83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53056" y="16440150"/>
          <a:ext cx="2589796" cy="2104519"/>
        </a:xfrm>
        <a:prstGeom prst="rect">
          <a:avLst/>
        </a:prstGeom>
      </xdr:spPr>
    </xdr:pic>
    <xdr:clientData/>
  </xdr:twoCellAnchor>
  <xdr:twoCellAnchor editAs="oneCell">
    <xdr:from>
      <xdr:col>5</xdr:col>
      <xdr:colOff>63254</xdr:colOff>
      <xdr:row>103</xdr:row>
      <xdr:rowOff>180975</xdr:rowOff>
    </xdr:from>
    <xdr:to>
      <xdr:col>8</xdr:col>
      <xdr:colOff>237660</xdr:colOff>
      <xdr:row>111</xdr:row>
      <xdr:rowOff>180437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4FD3A8A-449C-BBE6-0FB4-344CBBF4E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30254" y="19288125"/>
          <a:ext cx="1317406" cy="1523462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295276</xdr:colOff>
      <xdr:row>117</xdr:row>
      <xdr:rowOff>19050</xdr:rowOff>
    </xdr:from>
    <xdr:to>
      <xdr:col>8</xdr:col>
      <xdr:colOff>266564</xdr:colOff>
      <xdr:row>126</xdr:row>
      <xdr:rowOff>46522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9808A10-6B1C-31A5-61B6-8B8DC64EA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1276" y="21793200"/>
          <a:ext cx="1495288" cy="1741972"/>
        </a:xfrm>
        <a:prstGeom prst="rect">
          <a:avLst/>
        </a:prstGeom>
      </xdr:spPr>
    </xdr:pic>
    <xdr:clientData/>
  </xdr:twoCellAnchor>
  <xdr:oneCellAnchor>
    <xdr:from>
      <xdr:col>14</xdr:col>
      <xdr:colOff>43316</xdr:colOff>
      <xdr:row>109</xdr:row>
      <xdr:rowOff>95249</xdr:rowOff>
    </xdr:from>
    <xdr:ext cx="3707154" cy="2468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55F2F9A-D6A7-5F23-2BFF-40ED5607A696}"/>
                </a:ext>
              </a:extLst>
            </xdr:cNvPr>
            <xdr:cNvSpPr txBox="1"/>
          </xdr:nvSpPr>
          <xdr:spPr>
            <a:xfrm>
              <a:off x="5674972" y="20907374"/>
              <a:ext cx="3707154" cy="2468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𝐿𝑢𝑎𝑠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𝑃𝑒𝑛𝑎𝑚𝑝𝑎𝑛𝑔</m:t>
                  </m:r>
                  <m:r>
                    <a:rPr lang="en-ID" sz="11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ID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𝐿𝑒𝑏𝑎𝑟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𝑏𝑎𝑤𝑎h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𝐿𝑒𝑏𝑎𝑟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𝑎𝑡𝑎𝑠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den>
                  </m:f>
                </m:oMath>
              </a14:m>
              <a:r>
                <a:rPr lang="en-ID" sz="1100"/>
                <a:t> X Tinggi</a:t>
              </a: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B55F2F9A-D6A7-5F23-2BFF-40ED5607A696}"/>
                </a:ext>
              </a:extLst>
            </xdr:cNvPr>
            <xdr:cNvSpPr txBox="1"/>
          </xdr:nvSpPr>
          <xdr:spPr>
            <a:xfrm>
              <a:off x="5674972" y="20907374"/>
              <a:ext cx="3707154" cy="2468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𝐿𝑢𝑎𝑠 𝑃𝑒𝑛𝑎𝑚𝑝𝑎𝑛𝑔</a:t>
              </a:r>
              <a:r>
                <a:rPr lang="en-ID" sz="1100" i="0">
                  <a:latin typeface="Cambria Math" panose="02040503050406030204" pitchFamily="18" charset="0"/>
                </a:rPr>
                <a:t>=(</a:t>
              </a:r>
              <a:r>
                <a:rPr lang="en-US" sz="1100" b="0" i="0">
                  <a:latin typeface="Cambria Math" panose="02040503050406030204" pitchFamily="18" charset="0"/>
                </a:rPr>
                <a:t>(𝐿𝑒𝑏𝑎𝑟 𝑏𝑎𝑤𝑎ℎ+𝐿𝑒𝑏𝑎𝑟 𝑎𝑡𝑎𝑠)</a:t>
              </a:r>
              <a:r>
                <a:rPr lang="en-ID" sz="1100" b="0" i="0">
                  <a:latin typeface="Cambria Math" panose="02040503050406030204" pitchFamily="18" charset="0"/>
                </a:rPr>
                <a:t>)/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r>
                <a:rPr lang="en-ID" sz="1100"/>
                <a:t> X Tinggi</a:t>
              </a:r>
            </a:p>
          </xdr:txBody>
        </xdr:sp>
      </mc:Fallback>
    </mc:AlternateContent>
    <xdr:clientData/>
  </xdr:oneCellAnchor>
  <xdr:oneCellAnchor>
    <xdr:from>
      <xdr:col>14</xdr:col>
      <xdr:colOff>21167</xdr:colOff>
      <xdr:row>122</xdr:row>
      <xdr:rowOff>84667</xdr:rowOff>
    </xdr:from>
    <xdr:ext cx="3724351" cy="2468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1A88696-27FB-467B-83BA-C7DB0F2D0C06}"/>
                </a:ext>
              </a:extLst>
            </xdr:cNvPr>
            <xdr:cNvSpPr txBox="1"/>
          </xdr:nvSpPr>
          <xdr:spPr>
            <a:xfrm>
              <a:off x="5651500" y="22902334"/>
              <a:ext cx="3724351" cy="2468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b="0" i="1">
                      <a:latin typeface="Cambria Math" panose="02040503050406030204" pitchFamily="18" charset="0"/>
                    </a:rPr>
                    <m:t>𝐿𝑢𝑎𝑠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 </m:t>
                  </m:r>
                  <m:r>
                    <a:rPr lang="en-US" sz="1100" b="0" i="1">
                      <a:latin typeface="Cambria Math" panose="02040503050406030204" pitchFamily="18" charset="0"/>
                    </a:rPr>
                    <m:t>𝑃𝑒𝑛𝑎𝑚𝑝𝑎𝑛𝑔</m:t>
                  </m:r>
                  <m:r>
                    <a:rPr lang="en-ID" sz="110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ID" sz="11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𝐿𝑒𝑏𝑎𝑟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𝑏𝑎𝑤𝑎h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+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𝐿𝑒𝑏𝑎𝑟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𝑎𝑡𝑎𝑠</m:t>
                      </m:r>
                      <m:r>
                        <a:rPr lang="en-US" sz="1100" b="0" i="1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den>
                  </m:f>
                </m:oMath>
              </a14:m>
              <a:r>
                <a:rPr lang="en-ID" sz="1100"/>
                <a:t> X Tinggi</a:t>
              </a: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1A88696-27FB-467B-83BA-C7DB0F2D0C06}"/>
                </a:ext>
              </a:extLst>
            </xdr:cNvPr>
            <xdr:cNvSpPr txBox="1"/>
          </xdr:nvSpPr>
          <xdr:spPr>
            <a:xfrm>
              <a:off x="5651500" y="22902334"/>
              <a:ext cx="3724351" cy="2468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 i="0">
                  <a:latin typeface="Cambria Math" panose="02040503050406030204" pitchFamily="18" charset="0"/>
                </a:rPr>
                <a:t>𝐿𝑢𝑎𝑠 𝑃𝑒𝑛𝑎𝑚𝑝𝑎𝑛𝑔</a:t>
              </a:r>
              <a:r>
                <a:rPr lang="en-ID" sz="1100" i="0">
                  <a:latin typeface="Cambria Math" panose="02040503050406030204" pitchFamily="18" charset="0"/>
                </a:rPr>
                <a:t>=(</a:t>
              </a:r>
              <a:r>
                <a:rPr lang="en-US" sz="1100" b="0" i="0">
                  <a:latin typeface="Cambria Math" panose="02040503050406030204" pitchFamily="18" charset="0"/>
                </a:rPr>
                <a:t>(𝐿𝑒𝑏𝑎𝑟 𝑏𝑎𝑤𝑎ℎ+𝐿𝑒𝑏𝑎𝑟 𝑎𝑡𝑎𝑠)</a:t>
              </a:r>
              <a:r>
                <a:rPr lang="en-ID" sz="1100" b="0" i="0">
                  <a:latin typeface="Cambria Math" panose="02040503050406030204" pitchFamily="18" charset="0"/>
                </a:rPr>
                <a:t>)/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r>
                <a:rPr lang="en-ID" sz="1100"/>
                <a:t> X Tinggi</a:t>
              </a:r>
            </a:p>
          </xdr:txBody>
        </xdr:sp>
      </mc:Fallback>
    </mc:AlternateContent>
    <xdr:clientData/>
  </xdr:oneCellAnchor>
  <xdr:twoCellAnchor editAs="oneCell">
    <xdr:from>
      <xdr:col>4</xdr:col>
      <xdr:colOff>296333</xdr:colOff>
      <xdr:row>60</xdr:row>
      <xdr:rowOff>133855</xdr:rowOff>
    </xdr:from>
    <xdr:to>
      <xdr:col>10</xdr:col>
      <xdr:colOff>251165</xdr:colOff>
      <xdr:row>69</xdr:row>
      <xdr:rowOff>53450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116CA47-F985-7B13-E9D5-28C763E25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60083" y="11172272"/>
          <a:ext cx="2240832" cy="1634095"/>
        </a:xfrm>
        <a:prstGeom prst="rect">
          <a:avLst/>
        </a:prstGeom>
      </xdr:spPr>
    </xdr:pic>
    <xdr:clientData/>
  </xdr:twoCellAnchor>
  <xdr:twoCellAnchor editAs="oneCell">
    <xdr:from>
      <xdr:col>5</xdr:col>
      <xdr:colOff>105833</xdr:colOff>
      <xdr:row>71</xdr:row>
      <xdr:rowOff>39634</xdr:rowOff>
    </xdr:from>
    <xdr:to>
      <xdr:col>9</xdr:col>
      <xdr:colOff>360237</xdr:colOff>
      <xdr:row>79</xdr:row>
      <xdr:rowOff>8975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EC5601-C962-8B2F-E8FF-89DA1D7D8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550583" y="13173551"/>
          <a:ext cx="1778404" cy="1493341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130</xdr:row>
      <xdr:rowOff>38100</xdr:rowOff>
    </xdr:from>
    <xdr:to>
      <xdr:col>11</xdr:col>
      <xdr:colOff>137839</xdr:colOff>
      <xdr:row>143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33140E-1EDF-5D5F-A58D-4A2A58F4C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05075" y="24393525"/>
          <a:ext cx="2376214" cy="256222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148</xdr:row>
      <xdr:rowOff>134044</xdr:rowOff>
    </xdr:from>
    <xdr:to>
      <xdr:col>11</xdr:col>
      <xdr:colOff>300083</xdr:colOff>
      <xdr:row>158</xdr:row>
      <xdr:rowOff>28034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E040264-E9BD-3795-62CF-7D8DC8D0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43175" y="27918469"/>
          <a:ext cx="2500358" cy="1798990"/>
        </a:xfrm>
        <a:prstGeom prst="rect">
          <a:avLst/>
        </a:prstGeom>
      </xdr:spPr>
    </xdr:pic>
    <xdr:clientData/>
  </xdr:twoCellAnchor>
  <xdr:twoCellAnchor editAs="oneCell">
    <xdr:from>
      <xdr:col>5</xdr:col>
      <xdr:colOff>76221</xdr:colOff>
      <xdr:row>169</xdr:row>
      <xdr:rowOff>135493</xdr:rowOff>
    </xdr:from>
    <xdr:to>
      <xdr:col>12</xdr:col>
      <xdr:colOff>34385</xdr:colOff>
      <xdr:row>179</xdr:row>
      <xdr:rowOff>85725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8FDE3E0-FBC2-A493-C14E-4FB9558E0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28909" y="32639556"/>
          <a:ext cx="2625164" cy="1867138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183</xdr:row>
      <xdr:rowOff>85724</xdr:rowOff>
    </xdr:from>
    <xdr:to>
      <xdr:col>11</xdr:col>
      <xdr:colOff>303504</xdr:colOff>
      <xdr:row>194</xdr:row>
      <xdr:rowOff>95249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8E12461-69DC-2AEC-CEC5-C58F32A82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495550" y="34347149"/>
          <a:ext cx="2551404" cy="210502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198</xdr:row>
      <xdr:rowOff>47624</xdr:rowOff>
    </xdr:from>
    <xdr:to>
      <xdr:col>11</xdr:col>
      <xdr:colOff>342621</xdr:colOff>
      <xdr:row>207</xdr:row>
      <xdr:rowOff>56675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A375786-F2C7-A6C9-A743-B07A97719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505075" y="37166549"/>
          <a:ext cx="2580996" cy="1723551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212</xdr:row>
      <xdr:rowOff>9526</xdr:rowOff>
    </xdr:from>
    <xdr:to>
      <xdr:col>11</xdr:col>
      <xdr:colOff>245078</xdr:colOff>
      <xdr:row>220</xdr:row>
      <xdr:rowOff>123826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7FC73D4-84FF-AA7E-F54C-69B16A980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86025" y="39795451"/>
          <a:ext cx="2502503" cy="1638300"/>
        </a:xfrm>
        <a:prstGeom prst="rect">
          <a:avLst/>
        </a:prstGeom>
      </xdr:spPr>
    </xdr:pic>
    <xdr:clientData/>
  </xdr:twoCellAnchor>
  <xdr:twoCellAnchor editAs="oneCell">
    <xdr:from>
      <xdr:col>5</xdr:col>
      <xdr:colOff>33853</xdr:colOff>
      <xdr:row>225</xdr:row>
      <xdr:rowOff>133351</xdr:rowOff>
    </xdr:from>
    <xdr:to>
      <xdr:col>11</xdr:col>
      <xdr:colOff>380306</xdr:colOff>
      <xdr:row>235</xdr:row>
      <xdr:rowOff>151893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9FD67E88-4F4D-E579-E50D-7262E3C08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491303" y="42395776"/>
          <a:ext cx="2632453" cy="1923542"/>
        </a:xfrm>
        <a:prstGeom prst="rect">
          <a:avLst/>
        </a:prstGeom>
      </xdr:spPr>
    </xdr:pic>
    <xdr:clientData/>
  </xdr:twoCellAnchor>
  <xdr:twoCellAnchor editAs="oneCell">
    <xdr:from>
      <xdr:col>6</xdr:col>
      <xdr:colOff>257175</xdr:colOff>
      <xdr:row>243</xdr:row>
      <xdr:rowOff>13621</xdr:rowOff>
    </xdr:from>
    <xdr:to>
      <xdr:col>10</xdr:col>
      <xdr:colOff>209550</xdr:colOff>
      <xdr:row>252</xdr:row>
      <xdr:rowOff>94713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818867E-2C9A-0763-00DD-0EFF6B0BE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095625" y="45705046"/>
          <a:ext cx="1476375" cy="1795592"/>
        </a:xfrm>
        <a:prstGeom prst="rect">
          <a:avLst/>
        </a:prstGeom>
      </xdr:spPr>
    </xdr:pic>
    <xdr:clientData/>
  </xdr:twoCellAnchor>
  <xdr:twoCellAnchor editAs="oneCell">
    <xdr:from>
      <xdr:col>5</xdr:col>
      <xdr:colOff>65719</xdr:colOff>
      <xdr:row>265</xdr:row>
      <xdr:rowOff>38100</xdr:rowOff>
    </xdr:from>
    <xdr:to>
      <xdr:col>11</xdr:col>
      <xdr:colOff>341403</xdr:colOff>
      <xdr:row>277</xdr:row>
      <xdr:rowOff>104775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A00F8D2-488A-EDC5-C22F-FCB60511A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523169" y="49730025"/>
          <a:ext cx="2561684" cy="235267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257176</xdr:colOff>
      <xdr:row>301</xdr:row>
      <xdr:rowOff>23467</xdr:rowOff>
    </xdr:from>
    <xdr:to>
      <xdr:col>11</xdr:col>
      <xdr:colOff>333375</xdr:colOff>
      <xdr:row>310</xdr:row>
      <xdr:rowOff>37609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3B7E6BF-3567-9D52-BAF9-CF12A23AB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714626" y="55049392"/>
          <a:ext cx="2362199" cy="1728642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343</xdr:row>
      <xdr:rowOff>133350</xdr:rowOff>
    </xdr:from>
    <xdr:to>
      <xdr:col>11</xdr:col>
      <xdr:colOff>142874</xdr:colOff>
      <xdr:row>352</xdr:row>
      <xdr:rowOff>135586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43C0768-CFE6-4090-8ECD-10070DC9C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524125" y="61636275"/>
          <a:ext cx="2362199" cy="1728642"/>
        </a:xfrm>
        <a:prstGeom prst="rect">
          <a:avLst/>
        </a:prstGeom>
      </xdr:spPr>
    </xdr:pic>
    <xdr:clientData/>
  </xdr:twoCellAnchor>
  <xdr:twoCellAnchor editAs="oneCell">
    <xdr:from>
      <xdr:col>5</xdr:col>
      <xdr:colOff>28576</xdr:colOff>
      <xdr:row>381</xdr:row>
      <xdr:rowOff>57831</xdr:rowOff>
    </xdr:from>
    <xdr:to>
      <xdr:col>12</xdr:col>
      <xdr:colOff>304800</xdr:colOff>
      <xdr:row>395</xdr:row>
      <xdr:rowOff>123824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4F04C67-CCF8-46CA-B628-631EAEA2E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486026" y="67085256"/>
          <a:ext cx="2943224" cy="2732993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417</xdr:row>
      <xdr:rowOff>30331</xdr:rowOff>
    </xdr:from>
    <xdr:to>
      <xdr:col>12</xdr:col>
      <xdr:colOff>247650</xdr:colOff>
      <xdr:row>428</xdr:row>
      <xdr:rowOff>133350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8F67630C-1ED4-8CC2-9A28-CBEEBEF3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6975" y="72582256"/>
          <a:ext cx="2905125" cy="2198519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238126</xdr:colOff>
      <xdr:row>455</xdr:row>
      <xdr:rowOff>28575</xdr:rowOff>
    </xdr:from>
    <xdr:to>
      <xdr:col>12</xdr:col>
      <xdr:colOff>313850</xdr:colOff>
      <xdr:row>469</xdr:row>
      <xdr:rowOff>57150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ACBC545-986F-7FED-99F8-442C0D12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6" y="78295500"/>
          <a:ext cx="2742724" cy="272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484</xdr:row>
      <xdr:rowOff>5240</xdr:rowOff>
    </xdr:from>
    <xdr:to>
      <xdr:col>11</xdr:col>
      <xdr:colOff>361950</xdr:colOff>
      <xdr:row>500</xdr:row>
      <xdr:rowOff>180409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2901189-6F14-7EA4-B149-6B52753DB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533650" y="83825240"/>
          <a:ext cx="2571750" cy="322316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504</xdr:row>
      <xdr:rowOff>66675</xdr:rowOff>
    </xdr:from>
    <xdr:to>
      <xdr:col>11</xdr:col>
      <xdr:colOff>200558</xdr:colOff>
      <xdr:row>519</xdr:row>
      <xdr:rowOff>85164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5982239-D8AD-5120-E92A-89AE24802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686050" y="87696675"/>
          <a:ext cx="2257958" cy="2875989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522</xdr:row>
      <xdr:rowOff>57150</xdr:rowOff>
    </xdr:from>
    <xdr:to>
      <xdr:col>11</xdr:col>
      <xdr:colOff>242069</xdr:colOff>
      <xdr:row>533</xdr:row>
      <xdr:rowOff>56539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79AD954-2F61-4C63-838A-340E3A178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86051" y="91116150"/>
          <a:ext cx="2299468" cy="2094889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536</xdr:row>
      <xdr:rowOff>18777</xdr:rowOff>
    </xdr:from>
    <xdr:to>
      <xdr:col>11</xdr:col>
      <xdr:colOff>120642</xdr:colOff>
      <xdr:row>548</xdr:row>
      <xdr:rowOff>180459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99F6EFB-12EF-0C64-4742-0CF1C3D2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495550" y="93744777"/>
          <a:ext cx="2368542" cy="2447682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551</xdr:row>
      <xdr:rowOff>78839</xdr:rowOff>
    </xdr:from>
    <xdr:to>
      <xdr:col>10</xdr:col>
      <xdr:colOff>38101</xdr:colOff>
      <xdr:row>558</xdr:row>
      <xdr:rowOff>190023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BF9C8CF-7A5D-FAA0-5D52-6DD8677F8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457451" y="96662339"/>
          <a:ext cx="1943100" cy="1444684"/>
        </a:xfrm>
        <a:prstGeom prst="rect">
          <a:avLst/>
        </a:prstGeom>
      </xdr:spPr>
    </xdr:pic>
    <xdr:clientData/>
  </xdr:twoCellAnchor>
  <xdr:twoCellAnchor editAs="oneCell">
    <xdr:from>
      <xdr:col>4</xdr:col>
      <xdr:colOff>124478</xdr:colOff>
      <xdr:row>562</xdr:row>
      <xdr:rowOff>9525</xdr:rowOff>
    </xdr:from>
    <xdr:to>
      <xdr:col>9</xdr:col>
      <xdr:colOff>285123</xdr:colOff>
      <xdr:row>571</xdr:row>
      <xdr:rowOff>66138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8FC205-569E-7E01-9E74-4F26EC09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200928" y="98688525"/>
          <a:ext cx="2065645" cy="1771113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574</xdr:row>
      <xdr:rowOff>126730</xdr:rowOff>
    </xdr:from>
    <xdr:to>
      <xdr:col>9</xdr:col>
      <xdr:colOff>332672</xdr:colOff>
      <xdr:row>581</xdr:row>
      <xdr:rowOff>47183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E218845-B2A8-1FB7-6B74-9BD4E225C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14575" y="101091730"/>
          <a:ext cx="1999547" cy="1253953"/>
        </a:xfrm>
        <a:prstGeom prst="rect">
          <a:avLst/>
        </a:prstGeom>
      </xdr:spPr>
    </xdr:pic>
    <xdr:clientData/>
  </xdr:twoCellAnchor>
  <xdr:twoCellAnchor editAs="oneCell">
    <xdr:from>
      <xdr:col>5</xdr:col>
      <xdr:colOff>21332</xdr:colOff>
      <xdr:row>623</xdr:row>
      <xdr:rowOff>38099</xdr:rowOff>
    </xdr:from>
    <xdr:to>
      <xdr:col>11</xdr:col>
      <xdr:colOff>327505</xdr:colOff>
      <xdr:row>642</xdr:row>
      <xdr:rowOff>56354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8615DBA1-3E16-5C3D-124B-F9E960BB3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474020" y="116505037"/>
          <a:ext cx="2592173" cy="3637755"/>
        </a:xfrm>
        <a:prstGeom prst="rect">
          <a:avLst/>
        </a:prstGeom>
      </xdr:spPr>
    </xdr:pic>
    <xdr:clientData/>
  </xdr:twoCellAnchor>
  <xdr:twoCellAnchor>
    <xdr:from>
      <xdr:col>9</xdr:col>
      <xdr:colOff>161925</xdr:colOff>
      <xdr:row>622</xdr:row>
      <xdr:rowOff>133350</xdr:rowOff>
    </xdr:from>
    <xdr:to>
      <xdr:col>10</xdr:col>
      <xdr:colOff>200025</xdr:colOff>
      <xdr:row>625</xdr:row>
      <xdr:rowOff>76200</xdr:rowOff>
    </xdr:to>
    <xdr:cxnSp macro="">
      <xdr:nvCxnSpPr>
        <xdr:cNvPr id="35" name="Connector: Curved 34">
          <a:extLst>
            <a:ext uri="{FF2B5EF4-FFF2-40B4-BE49-F238E27FC236}">
              <a16:creationId xmlns:a16="http://schemas.microsoft.com/office/drawing/2014/main" id="{4F07CAF0-EC80-367D-B5E9-D5B7A67D69C1}"/>
            </a:ext>
          </a:extLst>
        </xdr:cNvPr>
        <xdr:cNvCxnSpPr/>
      </xdr:nvCxnSpPr>
      <xdr:spPr>
        <a:xfrm rot="5400000" flipH="1" flipV="1">
          <a:off x="4095750" y="108384975"/>
          <a:ext cx="514350" cy="419100"/>
        </a:xfrm>
        <a:prstGeom prst="curvedConnector3">
          <a:avLst>
            <a:gd name="adj1" fmla="val 50000"/>
          </a:avLst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95251</xdr:colOff>
      <xdr:row>632</xdr:row>
      <xdr:rowOff>142877</xdr:rowOff>
    </xdr:from>
    <xdr:to>
      <xdr:col>11</xdr:col>
      <xdr:colOff>314326</xdr:colOff>
      <xdr:row>633</xdr:row>
      <xdr:rowOff>123825</xdr:rowOff>
    </xdr:to>
    <xdr:cxnSp macro="">
      <xdr:nvCxnSpPr>
        <xdr:cNvPr id="44" name="Connector: Curved 43">
          <a:extLst>
            <a:ext uri="{FF2B5EF4-FFF2-40B4-BE49-F238E27FC236}">
              <a16:creationId xmlns:a16="http://schemas.microsoft.com/office/drawing/2014/main" id="{C02D8DE9-B44B-C40A-1CA1-10F2CF718C94}"/>
            </a:ext>
          </a:extLst>
        </xdr:cNvPr>
        <xdr:cNvCxnSpPr/>
      </xdr:nvCxnSpPr>
      <xdr:spPr>
        <a:xfrm rot="10800000">
          <a:off x="4457701" y="110251877"/>
          <a:ext cx="600075" cy="171448"/>
        </a:xfrm>
        <a:prstGeom prst="curvedConnector3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171451</xdr:colOff>
      <xdr:row>638</xdr:row>
      <xdr:rowOff>142878</xdr:rowOff>
    </xdr:from>
    <xdr:to>
      <xdr:col>11</xdr:col>
      <xdr:colOff>295276</xdr:colOff>
      <xdr:row>639</xdr:row>
      <xdr:rowOff>95251</xdr:rowOff>
    </xdr:to>
    <xdr:cxnSp macro="">
      <xdr:nvCxnSpPr>
        <xdr:cNvPr id="49" name="Connector: Curved 48">
          <a:extLst>
            <a:ext uri="{FF2B5EF4-FFF2-40B4-BE49-F238E27FC236}">
              <a16:creationId xmlns:a16="http://schemas.microsoft.com/office/drawing/2014/main" id="{AC0609E9-5140-502F-9F95-4253A4321629}"/>
            </a:ext>
          </a:extLst>
        </xdr:cNvPr>
        <xdr:cNvCxnSpPr/>
      </xdr:nvCxnSpPr>
      <xdr:spPr>
        <a:xfrm rot="10800000">
          <a:off x="4152901" y="111394878"/>
          <a:ext cx="885825" cy="142873"/>
        </a:xfrm>
        <a:prstGeom prst="curvedConnector3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361950</xdr:colOff>
      <xdr:row>698</xdr:row>
      <xdr:rowOff>164659</xdr:rowOff>
    </xdr:from>
    <xdr:to>
      <xdr:col>11</xdr:col>
      <xdr:colOff>95250</xdr:colOff>
      <xdr:row>709</xdr:row>
      <xdr:rowOff>95250</xdr:rowOff>
    </xdr:to>
    <xdr:pic>
      <xdr:nvPicPr>
        <xdr:cNvPr id="34" name="Picture 3163">
          <a:extLst>
            <a:ext uri="{FF2B5EF4-FFF2-40B4-BE49-F238E27FC236}">
              <a16:creationId xmlns:a16="http://schemas.microsoft.com/office/drawing/2014/main" id="{C41F295E-2462-426D-B8E2-4C04226CE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 l="18207" t="18346" r="19379" b="13669"/>
        <a:stretch>
          <a:fillRect/>
        </a:stretch>
      </xdr:blipFill>
      <xdr:spPr bwMode="auto">
        <a:xfrm>
          <a:off x="2438400" y="122656159"/>
          <a:ext cx="2400300" cy="2026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104775</xdr:colOff>
      <xdr:row>719</xdr:row>
      <xdr:rowOff>142874</xdr:rowOff>
    </xdr:from>
    <xdr:to>
      <xdr:col>10</xdr:col>
      <xdr:colOff>142875</xdr:colOff>
      <xdr:row>725</xdr:row>
      <xdr:rowOff>133349</xdr:rowOff>
    </xdr:to>
    <xdr:grpSp>
      <xdr:nvGrpSpPr>
        <xdr:cNvPr id="36" name="Group 1078">
          <a:extLst>
            <a:ext uri="{FF2B5EF4-FFF2-40B4-BE49-F238E27FC236}">
              <a16:creationId xmlns:a16="http://schemas.microsoft.com/office/drawing/2014/main" id="{C7067183-F684-4838-A517-E8818D15DFFF}"/>
            </a:ext>
          </a:extLst>
        </xdr:cNvPr>
        <xdr:cNvGrpSpPr>
          <a:grpSpLocks/>
        </xdr:cNvGrpSpPr>
      </xdr:nvGrpSpPr>
      <xdr:grpSpPr bwMode="auto">
        <a:xfrm>
          <a:off x="2938463" y="137779124"/>
          <a:ext cx="1562100" cy="1133475"/>
          <a:chOff x="81" y="1311"/>
          <a:chExt cx="190" cy="215"/>
        </a:xfrm>
      </xdr:grpSpPr>
      <xdr:sp macro="" textlink="">
        <xdr:nvSpPr>
          <xdr:cNvPr id="37" name="Line 645">
            <a:extLst>
              <a:ext uri="{FF2B5EF4-FFF2-40B4-BE49-F238E27FC236}">
                <a16:creationId xmlns:a16="http://schemas.microsoft.com/office/drawing/2014/main" id="{1449F667-7FFC-5F68-0A1D-8CDE38CBC0C9}"/>
              </a:ext>
            </a:extLst>
          </xdr:cNvPr>
          <xdr:cNvSpPr>
            <a:spLocks noChangeShapeType="1"/>
          </xdr:cNvSpPr>
        </xdr:nvSpPr>
        <xdr:spPr bwMode="auto">
          <a:xfrm>
            <a:off x="135" y="1327"/>
            <a:ext cx="0" cy="1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" name="Line 646">
            <a:extLst>
              <a:ext uri="{FF2B5EF4-FFF2-40B4-BE49-F238E27FC236}">
                <a16:creationId xmlns:a16="http://schemas.microsoft.com/office/drawing/2014/main" id="{43897631-93F1-3C6E-7499-BE70DFB36F26}"/>
              </a:ext>
            </a:extLst>
          </xdr:cNvPr>
          <xdr:cNvSpPr>
            <a:spLocks noChangeShapeType="1"/>
          </xdr:cNvSpPr>
        </xdr:nvSpPr>
        <xdr:spPr bwMode="auto">
          <a:xfrm>
            <a:off x="156" y="1327"/>
            <a:ext cx="0" cy="1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" name="Line 647">
            <a:extLst>
              <a:ext uri="{FF2B5EF4-FFF2-40B4-BE49-F238E27FC236}">
                <a16:creationId xmlns:a16="http://schemas.microsoft.com/office/drawing/2014/main" id="{BB46BA01-AF8A-B773-FFF1-FF451B41B319}"/>
              </a:ext>
            </a:extLst>
          </xdr:cNvPr>
          <xdr:cNvSpPr>
            <a:spLocks noChangeShapeType="1"/>
          </xdr:cNvSpPr>
        </xdr:nvSpPr>
        <xdr:spPr bwMode="auto">
          <a:xfrm>
            <a:off x="130" y="1486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0" name="Line 648">
            <a:extLst>
              <a:ext uri="{FF2B5EF4-FFF2-40B4-BE49-F238E27FC236}">
                <a16:creationId xmlns:a16="http://schemas.microsoft.com/office/drawing/2014/main" id="{635A6D6A-C69A-6B2F-888C-9920AE21EAF4}"/>
              </a:ext>
            </a:extLst>
          </xdr:cNvPr>
          <xdr:cNvSpPr>
            <a:spLocks noChangeShapeType="1"/>
          </xdr:cNvSpPr>
        </xdr:nvSpPr>
        <xdr:spPr bwMode="auto">
          <a:xfrm flipH="1">
            <a:off x="104" y="1485"/>
            <a:ext cx="26" cy="37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" name="Line 649">
            <a:extLst>
              <a:ext uri="{FF2B5EF4-FFF2-40B4-BE49-F238E27FC236}">
                <a16:creationId xmlns:a16="http://schemas.microsoft.com/office/drawing/2014/main" id="{3D420FBB-FD60-37DD-D534-0688AC747998}"/>
              </a:ext>
            </a:extLst>
          </xdr:cNvPr>
          <xdr:cNvSpPr>
            <a:spLocks noChangeShapeType="1"/>
          </xdr:cNvSpPr>
        </xdr:nvSpPr>
        <xdr:spPr bwMode="auto">
          <a:xfrm>
            <a:off x="161" y="1486"/>
            <a:ext cx="28" cy="3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" name="Freeform 650">
            <a:extLst>
              <a:ext uri="{FF2B5EF4-FFF2-40B4-BE49-F238E27FC236}">
                <a16:creationId xmlns:a16="http://schemas.microsoft.com/office/drawing/2014/main" id="{194A1AD3-5369-A11F-3379-A133FE3228BE}"/>
              </a:ext>
            </a:extLst>
          </xdr:cNvPr>
          <xdr:cNvSpPr>
            <a:spLocks/>
          </xdr:cNvSpPr>
        </xdr:nvSpPr>
        <xdr:spPr bwMode="auto">
          <a:xfrm>
            <a:off x="81" y="1508"/>
            <a:ext cx="133" cy="18"/>
          </a:xfrm>
          <a:custGeom>
            <a:avLst/>
            <a:gdLst>
              <a:gd name="T0" fmla="*/ 0 w 133"/>
              <a:gd name="T1" fmla="*/ 1 h 18"/>
              <a:gd name="T2" fmla="*/ 3 w 133"/>
              <a:gd name="T3" fmla="*/ 5 h 18"/>
              <a:gd name="T4" fmla="*/ 10 w 133"/>
              <a:gd name="T5" fmla="*/ 11 h 18"/>
              <a:gd name="T6" fmla="*/ 20 w 133"/>
              <a:gd name="T7" fmla="*/ 13 h 18"/>
              <a:gd name="T8" fmla="*/ 30 w 133"/>
              <a:gd name="T9" fmla="*/ 14 h 18"/>
              <a:gd name="T10" fmla="*/ 52 w 133"/>
              <a:gd name="T11" fmla="*/ 12 h 18"/>
              <a:gd name="T12" fmla="*/ 57 w 133"/>
              <a:gd name="T13" fmla="*/ 8 h 18"/>
              <a:gd name="T14" fmla="*/ 73 w 133"/>
              <a:gd name="T15" fmla="*/ 4 h 18"/>
              <a:gd name="T16" fmla="*/ 80 w 133"/>
              <a:gd name="T17" fmla="*/ 2 h 18"/>
              <a:gd name="T18" fmla="*/ 91 w 133"/>
              <a:gd name="T19" fmla="*/ 1 h 18"/>
              <a:gd name="T20" fmla="*/ 103 w 133"/>
              <a:gd name="T21" fmla="*/ 9 h 18"/>
              <a:gd name="T22" fmla="*/ 109 w 133"/>
              <a:gd name="T23" fmla="*/ 15 h 18"/>
              <a:gd name="T24" fmla="*/ 117 w 133"/>
              <a:gd name="T25" fmla="*/ 17 h 18"/>
              <a:gd name="T26" fmla="*/ 129 w 133"/>
              <a:gd name="T27" fmla="*/ 12 h 18"/>
              <a:gd name="T28" fmla="*/ 133 w 133"/>
              <a:gd name="T29" fmla="*/ 10 h 18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133"/>
              <a:gd name="T46" fmla="*/ 0 h 18"/>
              <a:gd name="T47" fmla="*/ 133 w 133"/>
              <a:gd name="T48" fmla="*/ 18 h 18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133" h="18">
                <a:moveTo>
                  <a:pt x="0" y="1"/>
                </a:moveTo>
                <a:cubicBezTo>
                  <a:pt x="0" y="2"/>
                  <a:pt x="1" y="3"/>
                  <a:pt x="3" y="5"/>
                </a:cubicBezTo>
                <a:cubicBezTo>
                  <a:pt x="5" y="7"/>
                  <a:pt x="7" y="10"/>
                  <a:pt x="10" y="11"/>
                </a:cubicBezTo>
                <a:cubicBezTo>
                  <a:pt x="13" y="12"/>
                  <a:pt x="17" y="12"/>
                  <a:pt x="20" y="13"/>
                </a:cubicBezTo>
                <a:cubicBezTo>
                  <a:pt x="23" y="14"/>
                  <a:pt x="25" y="14"/>
                  <a:pt x="30" y="14"/>
                </a:cubicBezTo>
                <a:cubicBezTo>
                  <a:pt x="35" y="14"/>
                  <a:pt x="48" y="13"/>
                  <a:pt x="52" y="12"/>
                </a:cubicBezTo>
                <a:cubicBezTo>
                  <a:pt x="56" y="11"/>
                  <a:pt x="54" y="9"/>
                  <a:pt x="57" y="8"/>
                </a:cubicBezTo>
                <a:cubicBezTo>
                  <a:pt x="60" y="7"/>
                  <a:pt x="69" y="5"/>
                  <a:pt x="73" y="4"/>
                </a:cubicBezTo>
                <a:cubicBezTo>
                  <a:pt x="77" y="3"/>
                  <a:pt x="77" y="2"/>
                  <a:pt x="80" y="2"/>
                </a:cubicBezTo>
                <a:cubicBezTo>
                  <a:pt x="83" y="2"/>
                  <a:pt x="87" y="0"/>
                  <a:pt x="91" y="1"/>
                </a:cubicBezTo>
                <a:cubicBezTo>
                  <a:pt x="95" y="2"/>
                  <a:pt x="100" y="7"/>
                  <a:pt x="103" y="9"/>
                </a:cubicBezTo>
                <a:cubicBezTo>
                  <a:pt x="106" y="11"/>
                  <a:pt x="107" y="14"/>
                  <a:pt x="109" y="15"/>
                </a:cubicBezTo>
                <a:cubicBezTo>
                  <a:pt x="111" y="16"/>
                  <a:pt x="114" y="18"/>
                  <a:pt x="117" y="17"/>
                </a:cubicBezTo>
                <a:cubicBezTo>
                  <a:pt x="120" y="16"/>
                  <a:pt x="126" y="13"/>
                  <a:pt x="129" y="12"/>
                </a:cubicBezTo>
                <a:cubicBezTo>
                  <a:pt x="132" y="11"/>
                  <a:pt x="132" y="10"/>
                  <a:pt x="133" y="1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" name="Freeform 654">
            <a:extLst>
              <a:ext uri="{FF2B5EF4-FFF2-40B4-BE49-F238E27FC236}">
                <a16:creationId xmlns:a16="http://schemas.microsoft.com/office/drawing/2014/main" id="{2FF355F1-8E5B-62F6-796A-E999D77A4F51}"/>
              </a:ext>
            </a:extLst>
          </xdr:cNvPr>
          <xdr:cNvSpPr>
            <a:spLocks/>
          </xdr:cNvSpPr>
        </xdr:nvSpPr>
        <xdr:spPr bwMode="auto">
          <a:xfrm>
            <a:off x="117" y="1332"/>
            <a:ext cx="51" cy="7"/>
          </a:xfrm>
          <a:custGeom>
            <a:avLst/>
            <a:gdLst>
              <a:gd name="T0" fmla="*/ 0 w 51"/>
              <a:gd name="T1" fmla="*/ 7 h 7"/>
              <a:gd name="T2" fmla="*/ 8 w 51"/>
              <a:gd name="T3" fmla="*/ 3 h 7"/>
              <a:gd name="T4" fmla="*/ 20 w 51"/>
              <a:gd name="T5" fmla="*/ 3 h 7"/>
              <a:gd name="T6" fmla="*/ 27 w 51"/>
              <a:gd name="T7" fmla="*/ 5 h 7"/>
              <a:gd name="T8" fmla="*/ 32 w 51"/>
              <a:gd name="T9" fmla="*/ 6 h 7"/>
              <a:gd name="T10" fmla="*/ 38 w 51"/>
              <a:gd name="T11" fmla="*/ 5 h 7"/>
              <a:gd name="T12" fmla="*/ 46 w 51"/>
              <a:gd name="T13" fmla="*/ 4 h 7"/>
              <a:gd name="T14" fmla="*/ 51 w 51"/>
              <a:gd name="T15" fmla="*/ 0 h 7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0 w 51"/>
              <a:gd name="T25" fmla="*/ 0 h 7"/>
              <a:gd name="T26" fmla="*/ 51 w 51"/>
              <a:gd name="T27" fmla="*/ 7 h 7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51" h="7">
                <a:moveTo>
                  <a:pt x="0" y="7"/>
                </a:moveTo>
                <a:cubicBezTo>
                  <a:pt x="2" y="5"/>
                  <a:pt x="5" y="4"/>
                  <a:pt x="8" y="3"/>
                </a:cubicBezTo>
                <a:cubicBezTo>
                  <a:pt x="11" y="2"/>
                  <a:pt x="17" y="3"/>
                  <a:pt x="20" y="3"/>
                </a:cubicBezTo>
                <a:cubicBezTo>
                  <a:pt x="23" y="3"/>
                  <a:pt x="25" y="4"/>
                  <a:pt x="27" y="5"/>
                </a:cubicBezTo>
                <a:cubicBezTo>
                  <a:pt x="29" y="6"/>
                  <a:pt x="30" y="6"/>
                  <a:pt x="32" y="6"/>
                </a:cubicBezTo>
                <a:cubicBezTo>
                  <a:pt x="34" y="6"/>
                  <a:pt x="36" y="5"/>
                  <a:pt x="38" y="5"/>
                </a:cubicBezTo>
                <a:cubicBezTo>
                  <a:pt x="40" y="5"/>
                  <a:pt x="44" y="5"/>
                  <a:pt x="46" y="4"/>
                </a:cubicBezTo>
                <a:cubicBezTo>
                  <a:pt x="48" y="3"/>
                  <a:pt x="50" y="0"/>
                  <a:pt x="51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5" name="Line 655">
            <a:extLst>
              <a:ext uri="{FF2B5EF4-FFF2-40B4-BE49-F238E27FC236}">
                <a16:creationId xmlns:a16="http://schemas.microsoft.com/office/drawing/2014/main" id="{976DCFAB-072B-90D2-AC76-311A68B09A32}"/>
              </a:ext>
            </a:extLst>
          </xdr:cNvPr>
          <xdr:cNvSpPr>
            <a:spLocks noChangeShapeType="1"/>
          </xdr:cNvSpPr>
        </xdr:nvSpPr>
        <xdr:spPr bwMode="auto">
          <a:xfrm>
            <a:off x="134" y="1460"/>
            <a:ext cx="2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46" name="Group 664">
            <a:extLst>
              <a:ext uri="{FF2B5EF4-FFF2-40B4-BE49-F238E27FC236}">
                <a16:creationId xmlns:a16="http://schemas.microsoft.com/office/drawing/2014/main" id="{440729B0-E24C-FB1B-D7F7-CC77839686C1}"/>
              </a:ext>
            </a:extLst>
          </xdr:cNvPr>
          <xdr:cNvGrpSpPr>
            <a:grpSpLocks/>
          </xdr:cNvGrpSpPr>
        </xdr:nvGrpSpPr>
        <xdr:grpSpPr bwMode="auto">
          <a:xfrm>
            <a:off x="81" y="1323"/>
            <a:ext cx="133" cy="199"/>
            <a:chOff x="81" y="1327"/>
            <a:chExt cx="133" cy="195"/>
          </a:xfrm>
        </xdr:grpSpPr>
        <xdr:sp macro="" textlink="">
          <xdr:nvSpPr>
            <xdr:cNvPr id="152" name="Line 656">
              <a:extLst>
                <a:ext uri="{FF2B5EF4-FFF2-40B4-BE49-F238E27FC236}">
                  <a16:creationId xmlns:a16="http://schemas.microsoft.com/office/drawing/2014/main" id="{CAE8E753-5E38-026C-F631-97E5D5ACC10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5" y="1327"/>
              <a:ext cx="0" cy="156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3" name="Line 657">
              <a:extLst>
                <a:ext uri="{FF2B5EF4-FFF2-40B4-BE49-F238E27FC236}">
                  <a16:creationId xmlns:a16="http://schemas.microsoft.com/office/drawing/2014/main" id="{67A2AF4C-30E6-C0DC-6D66-F4F3FD4E601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56" y="1327"/>
              <a:ext cx="0" cy="156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4" name="Line 658">
              <a:extLst>
                <a:ext uri="{FF2B5EF4-FFF2-40B4-BE49-F238E27FC236}">
                  <a16:creationId xmlns:a16="http://schemas.microsoft.com/office/drawing/2014/main" id="{5F356933-E60F-6571-8243-620117F636B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0" y="1482"/>
              <a:ext cx="31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5" name="Line 659">
              <a:extLst>
                <a:ext uri="{FF2B5EF4-FFF2-40B4-BE49-F238E27FC236}">
                  <a16:creationId xmlns:a16="http://schemas.microsoft.com/office/drawing/2014/main" id="{C24E45A0-E6FC-75A9-35C7-92FA413C33BA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4" y="1481"/>
              <a:ext cx="26" cy="37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6" name="Line 660">
              <a:extLst>
                <a:ext uri="{FF2B5EF4-FFF2-40B4-BE49-F238E27FC236}">
                  <a16:creationId xmlns:a16="http://schemas.microsoft.com/office/drawing/2014/main" id="{307C7CAA-CF3F-64C1-CA6E-78F48F00C01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61" y="1482"/>
              <a:ext cx="28" cy="36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7" name="Freeform 661">
              <a:extLst>
                <a:ext uri="{FF2B5EF4-FFF2-40B4-BE49-F238E27FC236}">
                  <a16:creationId xmlns:a16="http://schemas.microsoft.com/office/drawing/2014/main" id="{F57C8B82-3D0D-602F-3F39-D44027CEE590}"/>
                </a:ext>
              </a:extLst>
            </xdr:cNvPr>
            <xdr:cNvSpPr>
              <a:spLocks/>
            </xdr:cNvSpPr>
          </xdr:nvSpPr>
          <xdr:spPr bwMode="auto">
            <a:xfrm>
              <a:off x="81" y="1504"/>
              <a:ext cx="133" cy="18"/>
            </a:xfrm>
            <a:custGeom>
              <a:avLst/>
              <a:gdLst>
                <a:gd name="T0" fmla="*/ 0 w 133"/>
                <a:gd name="T1" fmla="*/ 1 h 18"/>
                <a:gd name="T2" fmla="*/ 3 w 133"/>
                <a:gd name="T3" fmla="*/ 5 h 18"/>
                <a:gd name="T4" fmla="*/ 10 w 133"/>
                <a:gd name="T5" fmla="*/ 11 h 18"/>
                <a:gd name="T6" fmla="*/ 20 w 133"/>
                <a:gd name="T7" fmla="*/ 13 h 18"/>
                <a:gd name="T8" fmla="*/ 30 w 133"/>
                <a:gd name="T9" fmla="*/ 14 h 18"/>
                <a:gd name="T10" fmla="*/ 52 w 133"/>
                <a:gd name="T11" fmla="*/ 12 h 18"/>
                <a:gd name="T12" fmla="*/ 57 w 133"/>
                <a:gd name="T13" fmla="*/ 8 h 18"/>
                <a:gd name="T14" fmla="*/ 73 w 133"/>
                <a:gd name="T15" fmla="*/ 4 h 18"/>
                <a:gd name="T16" fmla="*/ 80 w 133"/>
                <a:gd name="T17" fmla="*/ 2 h 18"/>
                <a:gd name="T18" fmla="*/ 91 w 133"/>
                <a:gd name="T19" fmla="*/ 1 h 18"/>
                <a:gd name="T20" fmla="*/ 103 w 133"/>
                <a:gd name="T21" fmla="*/ 9 h 18"/>
                <a:gd name="T22" fmla="*/ 109 w 133"/>
                <a:gd name="T23" fmla="*/ 15 h 18"/>
                <a:gd name="T24" fmla="*/ 117 w 133"/>
                <a:gd name="T25" fmla="*/ 17 h 18"/>
                <a:gd name="T26" fmla="*/ 129 w 133"/>
                <a:gd name="T27" fmla="*/ 12 h 18"/>
                <a:gd name="T28" fmla="*/ 133 w 133"/>
                <a:gd name="T29" fmla="*/ 10 h 18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w 133"/>
                <a:gd name="T46" fmla="*/ 0 h 18"/>
                <a:gd name="T47" fmla="*/ 133 w 133"/>
                <a:gd name="T48" fmla="*/ 18 h 18"/>
              </a:gdLst>
              <a:ahLst/>
              <a:cxnLst>
                <a:cxn ang="T30">
                  <a:pos x="T0" y="T1"/>
                </a:cxn>
                <a:cxn ang="T31">
                  <a:pos x="T2" y="T3"/>
                </a:cxn>
                <a:cxn ang="T32">
                  <a:pos x="T4" y="T5"/>
                </a:cxn>
                <a:cxn ang="T33">
                  <a:pos x="T6" y="T7"/>
                </a:cxn>
                <a:cxn ang="T34">
                  <a:pos x="T8" y="T9"/>
                </a:cxn>
                <a:cxn ang="T35">
                  <a:pos x="T10" y="T11"/>
                </a:cxn>
                <a:cxn ang="T36">
                  <a:pos x="T12" y="T13"/>
                </a:cxn>
                <a:cxn ang="T37">
                  <a:pos x="T14" y="T15"/>
                </a:cxn>
                <a:cxn ang="T38">
                  <a:pos x="T16" y="T17"/>
                </a:cxn>
                <a:cxn ang="T39">
                  <a:pos x="T18" y="T19"/>
                </a:cxn>
                <a:cxn ang="T40">
                  <a:pos x="T20" y="T21"/>
                </a:cxn>
                <a:cxn ang="T41">
                  <a:pos x="T22" y="T23"/>
                </a:cxn>
                <a:cxn ang="T42">
                  <a:pos x="T24" y="T25"/>
                </a:cxn>
                <a:cxn ang="T43">
                  <a:pos x="T26" y="T27"/>
                </a:cxn>
                <a:cxn ang="T44">
                  <a:pos x="T28" y="T29"/>
                </a:cxn>
              </a:cxnLst>
              <a:rect l="T45" t="T46" r="T47" b="T48"/>
              <a:pathLst>
                <a:path w="133" h="18">
                  <a:moveTo>
                    <a:pt x="0" y="1"/>
                  </a:moveTo>
                  <a:cubicBezTo>
                    <a:pt x="0" y="2"/>
                    <a:pt x="1" y="3"/>
                    <a:pt x="3" y="5"/>
                  </a:cubicBezTo>
                  <a:cubicBezTo>
                    <a:pt x="5" y="7"/>
                    <a:pt x="7" y="10"/>
                    <a:pt x="10" y="11"/>
                  </a:cubicBezTo>
                  <a:cubicBezTo>
                    <a:pt x="13" y="12"/>
                    <a:pt x="17" y="12"/>
                    <a:pt x="20" y="13"/>
                  </a:cubicBezTo>
                  <a:cubicBezTo>
                    <a:pt x="23" y="14"/>
                    <a:pt x="25" y="14"/>
                    <a:pt x="30" y="14"/>
                  </a:cubicBezTo>
                  <a:cubicBezTo>
                    <a:pt x="35" y="14"/>
                    <a:pt x="48" y="13"/>
                    <a:pt x="52" y="12"/>
                  </a:cubicBezTo>
                  <a:cubicBezTo>
                    <a:pt x="56" y="11"/>
                    <a:pt x="54" y="9"/>
                    <a:pt x="57" y="8"/>
                  </a:cubicBezTo>
                  <a:cubicBezTo>
                    <a:pt x="60" y="7"/>
                    <a:pt x="69" y="5"/>
                    <a:pt x="73" y="4"/>
                  </a:cubicBezTo>
                  <a:cubicBezTo>
                    <a:pt x="77" y="3"/>
                    <a:pt x="77" y="2"/>
                    <a:pt x="80" y="2"/>
                  </a:cubicBezTo>
                  <a:cubicBezTo>
                    <a:pt x="83" y="2"/>
                    <a:pt x="87" y="0"/>
                    <a:pt x="91" y="1"/>
                  </a:cubicBezTo>
                  <a:cubicBezTo>
                    <a:pt x="95" y="2"/>
                    <a:pt x="100" y="7"/>
                    <a:pt x="103" y="9"/>
                  </a:cubicBezTo>
                  <a:cubicBezTo>
                    <a:pt x="106" y="11"/>
                    <a:pt x="107" y="14"/>
                    <a:pt x="109" y="15"/>
                  </a:cubicBezTo>
                  <a:cubicBezTo>
                    <a:pt x="111" y="16"/>
                    <a:pt x="114" y="18"/>
                    <a:pt x="117" y="17"/>
                  </a:cubicBezTo>
                  <a:cubicBezTo>
                    <a:pt x="120" y="16"/>
                    <a:pt x="126" y="13"/>
                    <a:pt x="129" y="12"/>
                  </a:cubicBezTo>
                  <a:cubicBezTo>
                    <a:pt x="132" y="11"/>
                    <a:pt x="132" y="10"/>
                    <a:pt x="133" y="10"/>
                  </a:cubicBezTo>
                </a:path>
              </a:pathLst>
            </a:cu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8" name="Freeform 662">
              <a:extLst>
                <a:ext uri="{FF2B5EF4-FFF2-40B4-BE49-F238E27FC236}">
                  <a16:creationId xmlns:a16="http://schemas.microsoft.com/office/drawing/2014/main" id="{A450232D-011F-07DD-15D9-1E664C109DFB}"/>
                </a:ext>
              </a:extLst>
            </xdr:cNvPr>
            <xdr:cNvSpPr>
              <a:spLocks/>
            </xdr:cNvSpPr>
          </xdr:nvSpPr>
          <xdr:spPr bwMode="auto">
            <a:xfrm>
              <a:off x="117" y="1332"/>
              <a:ext cx="51" cy="7"/>
            </a:xfrm>
            <a:custGeom>
              <a:avLst/>
              <a:gdLst>
                <a:gd name="T0" fmla="*/ 0 w 51"/>
                <a:gd name="T1" fmla="*/ 7 h 7"/>
                <a:gd name="T2" fmla="*/ 8 w 51"/>
                <a:gd name="T3" fmla="*/ 3 h 7"/>
                <a:gd name="T4" fmla="*/ 20 w 51"/>
                <a:gd name="T5" fmla="*/ 3 h 7"/>
                <a:gd name="T6" fmla="*/ 27 w 51"/>
                <a:gd name="T7" fmla="*/ 5 h 7"/>
                <a:gd name="T8" fmla="*/ 32 w 51"/>
                <a:gd name="T9" fmla="*/ 6 h 7"/>
                <a:gd name="T10" fmla="*/ 38 w 51"/>
                <a:gd name="T11" fmla="*/ 5 h 7"/>
                <a:gd name="T12" fmla="*/ 46 w 51"/>
                <a:gd name="T13" fmla="*/ 4 h 7"/>
                <a:gd name="T14" fmla="*/ 51 w 51"/>
                <a:gd name="T15" fmla="*/ 0 h 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51"/>
                <a:gd name="T25" fmla="*/ 0 h 7"/>
                <a:gd name="T26" fmla="*/ 51 w 51"/>
                <a:gd name="T27" fmla="*/ 7 h 7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51" h="7">
                  <a:moveTo>
                    <a:pt x="0" y="7"/>
                  </a:moveTo>
                  <a:cubicBezTo>
                    <a:pt x="2" y="5"/>
                    <a:pt x="5" y="4"/>
                    <a:pt x="8" y="3"/>
                  </a:cubicBezTo>
                  <a:cubicBezTo>
                    <a:pt x="11" y="2"/>
                    <a:pt x="17" y="3"/>
                    <a:pt x="20" y="3"/>
                  </a:cubicBezTo>
                  <a:cubicBezTo>
                    <a:pt x="23" y="3"/>
                    <a:pt x="25" y="4"/>
                    <a:pt x="27" y="5"/>
                  </a:cubicBezTo>
                  <a:cubicBezTo>
                    <a:pt x="29" y="6"/>
                    <a:pt x="30" y="6"/>
                    <a:pt x="32" y="6"/>
                  </a:cubicBezTo>
                  <a:cubicBezTo>
                    <a:pt x="34" y="6"/>
                    <a:pt x="36" y="5"/>
                    <a:pt x="38" y="5"/>
                  </a:cubicBezTo>
                  <a:cubicBezTo>
                    <a:pt x="40" y="5"/>
                    <a:pt x="44" y="5"/>
                    <a:pt x="46" y="4"/>
                  </a:cubicBezTo>
                  <a:cubicBezTo>
                    <a:pt x="48" y="3"/>
                    <a:pt x="50" y="0"/>
                    <a:pt x="51" y="0"/>
                  </a:cubicBezTo>
                </a:path>
              </a:pathLst>
            </a:cu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9" name="Line 663">
              <a:extLst>
                <a:ext uri="{FF2B5EF4-FFF2-40B4-BE49-F238E27FC236}">
                  <a16:creationId xmlns:a16="http://schemas.microsoft.com/office/drawing/2014/main" id="{F2632047-0FF1-4B1C-09C3-AF3C2BD0A7F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4" y="1456"/>
              <a:ext cx="23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47" name="Line 674">
            <a:extLst>
              <a:ext uri="{FF2B5EF4-FFF2-40B4-BE49-F238E27FC236}">
                <a16:creationId xmlns:a16="http://schemas.microsoft.com/office/drawing/2014/main" id="{A38EDA68-F8D0-693A-6B6C-47C964B823A4}"/>
              </a:ext>
            </a:extLst>
          </xdr:cNvPr>
          <xdr:cNvSpPr>
            <a:spLocks noChangeShapeType="1"/>
          </xdr:cNvSpPr>
        </xdr:nvSpPr>
        <xdr:spPr bwMode="auto">
          <a:xfrm>
            <a:off x="135" y="1369"/>
            <a:ext cx="2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8" name="Line 677">
            <a:extLst>
              <a:ext uri="{FF2B5EF4-FFF2-40B4-BE49-F238E27FC236}">
                <a16:creationId xmlns:a16="http://schemas.microsoft.com/office/drawing/2014/main" id="{550DFC7A-9F13-3FC4-D766-C593E74DB40D}"/>
              </a:ext>
            </a:extLst>
          </xdr:cNvPr>
          <xdr:cNvSpPr>
            <a:spLocks noChangeShapeType="1"/>
          </xdr:cNvSpPr>
        </xdr:nvSpPr>
        <xdr:spPr bwMode="auto">
          <a:xfrm>
            <a:off x="138" y="1484"/>
            <a:ext cx="1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0" name="Line 685">
            <a:extLst>
              <a:ext uri="{FF2B5EF4-FFF2-40B4-BE49-F238E27FC236}">
                <a16:creationId xmlns:a16="http://schemas.microsoft.com/office/drawing/2014/main" id="{2A45746A-797F-4553-8887-90811F2AA071}"/>
              </a:ext>
            </a:extLst>
          </xdr:cNvPr>
          <xdr:cNvSpPr>
            <a:spLocks noChangeShapeType="1"/>
          </xdr:cNvSpPr>
        </xdr:nvSpPr>
        <xdr:spPr bwMode="auto">
          <a:xfrm flipV="1">
            <a:off x="136" y="1369"/>
            <a:ext cx="16" cy="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" name="Line 686">
            <a:extLst>
              <a:ext uri="{FF2B5EF4-FFF2-40B4-BE49-F238E27FC236}">
                <a16:creationId xmlns:a16="http://schemas.microsoft.com/office/drawing/2014/main" id="{C1122C5B-C5ED-61DB-DE6A-27CD4A37211A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374"/>
            <a:ext cx="21" cy="1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2" name="Line 687">
            <a:extLst>
              <a:ext uri="{FF2B5EF4-FFF2-40B4-BE49-F238E27FC236}">
                <a16:creationId xmlns:a16="http://schemas.microsoft.com/office/drawing/2014/main" id="{F6AE263D-7A26-9E1E-D9C2-BE7F8B91D89E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383"/>
            <a:ext cx="21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3" name="Line 688">
            <a:extLst>
              <a:ext uri="{FF2B5EF4-FFF2-40B4-BE49-F238E27FC236}">
                <a16:creationId xmlns:a16="http://schemas.microsoft.com/office/drawing/2014/main" id="{42DB9CE9-6970-1EE6-D5A3-68C1CA8C17F8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394"/>
            <a:ext cx="21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4" name="Line 689">
            <a:extLst>
              <a:ext uri="{FF2B5EF4-FFF2-40B4-BE49-F238E27FC236}">
                <a16:creationId xmlns:a16="http://schemas.microsoft.com/office/drawing/2014/main" id="{7C75CF24-17D2-768F-B150-C07B5D1F11CB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404"/>
            <a:ext cx="21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5" name="Line 690">
            <a:extLst>
              <a:ext uri="{FF2B5EF4-FFF2-40B4-BE49-F238E27FC236}">
                <a16:creationId xmlns:a16="http://schemas.microsoft.com/office/drawing/2014/main" id="{8EC42699-B32E-AD2D-DF8A-B0C01DECCD0A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414"/>
            <a:ext cx="21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6" name="Line 691">
            <a:extLst>
              <a:ext uri="{FF2B5EF4-FFF2-40B4-BE49-F238E27FC236}">
                <a16:creationId xmlns:a16="http://schemas.microsoft.com/office/drawing/2014/main" id="{27FD2255-6C8E-3CF7-E24C-59A12B1552F3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424"/>
            <a:ext cx="21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7" name="Line 692">
            <a:extLst>
              <a:ext uri="{FF2B5EF4-FFF2-40B4-BE49-F238E27FC236}">
                <a16:creationId xmlns:a16="http://schemas.microsoft.com/office/drawing/2014/main" id="{216FB584-A112-73DA-101E-B3F6DC7F173B}"/>
              </a:ext>
            </a:extLst>
          </xdr:cNvPr>
          <xdr:cNvSpPr>
            <a:spLocks noChangeShapeType="1"/>
          </xdr:cNvSpPr>
        </xdr:nvSpPr>
        <xdr:spPr bwMode="auto">
          <a:xfrm flipV="1">
            <a:off x="136" y="1436"/>
            <a:ext cx="20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8" name="Line 694">
            <a:extLst>
              <a:ext uri="{FF2B5EF4-FFF2-40B4-BE49-F238E27FC236}">
                <a16:creationId xmlns:a16="http://schemas.microsoft.com/office/drawing/2014/main" id="{DC9CBD30-85C2-513C-3981-52E36CDC0330}"/>
              </a:ext>
            </a:extLst>
          </xdr:cNvPr>
          <xdr:cNvSpPr>
            <a:spLocks noChangeShapeType="1"/>
          </xdr:cNvSpPr>
        </xdr:nvSpPr>
        <xdr:spPr bwMode="auto">
          <a:xfrm flipV="1">
            <a:off x="147" y="1454"/>
            <a:ext cx="9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9" name="Line 695">
            <a:extLst>
              <a:ext uri="{FF2B5EF4-FFF2-40B4-BE49-F238E27FC236}">
                <a16:creationId xmlns:a16="http://schemas.microsoft.com/office/drawing/2014/main" id="{D8AAAF02-C509-BFA1-1EEE-8F3E6860FBB4}"/>
              </a:ext>
            </a:extLst>
          </xdr:cNvPr>
          <xdr:cNvSpPr>
            <a:spLocks noChangeShapeType="1"/>
          </xdr:cNvSpPr>
        </xdr:nvSpPr>
        <xdr:spPr bwMode="auto">
          <a:xfrm>
            <a:off x="135" y="1373"/>
            <a:ext cx="21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0" name="Line 696">
            <a:extLst>
              <a:ext uri="{FF2B5EF4-FFF2-40B4-BE49-F238E27FC236}">
                <a16:creationId xmlns:a16="http://schemas.microsoft.com/office/drawing/2014/main" id="{92715494-35EA-4DCD-9BF5-2FC57CE44D2B}"/>
              </a:ext>
            </a:extLst>
          </xdr:cNvPr>
          <xdr:cNvSpPr>
            <a:spLocks noChangeShapeType="1"/>
          </xdr:cNvSpPr>
        </xdr:nvSpPr>
        <xdr:spPr bwMode="auto">
          <a:xfrm>
            <a:off x="144" y="1369"/>
            <a:ext cx="13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" name="Line 697">
            <a:extLst>
              <a:ext uri="{FF2B5EF4-FFF2-40B4-BE49-F238E27FC236}">
                <a16:creationId xmlns:a16="http://schemas.microsoft.com/office/drawing/2014/main" id="{91AC8404-2F94-025A-4012-2710B8104230}"/>
              </a:ext>
            </a:extLst>
          </xdr:cNvPr>
          <xdr:cNvSpPr>
            <a:spLocks noChangeShapeType="1"/>
          </xdr:cNvSpPr>
        </xdr:nvSpPr>
        <xdr:spPr bwMode="auto">
          <a:xfrm>
            <a:off x="135" y="1382"/>
            <a:ext cx="21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2" name="Line 698">
            <a:extLst>
              <a:ext uri="{FF2B5EF4-FFF2-40B4-BE49-F238E27FC236}">
                <a16:creationId xmlns:a16="http://schemas.microsoft.com/office/drawing/2014/main" id="{3446E08B-115E-FCB0-687A-39196347F850}"/>
              </a:ext>
            </a:extLst>
          </xdr:cNvPr>
          <xdr:cNvSpPr>
            <a:spLocks noChangeShapeType="1"/>
          </xdr:cNvSpPr>
        </xdr:nvSpPr>
        <xdr:spPr bwMode="auto">
          <a:xfrm>
            <a:off x="135" y="1393"/>
            <a:ext cx="22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3" name="Line 699">
            <a:extLst>
              <a:ext uri="{FF2B5EF4-FFF2-40B4-BE49-F238E27FC236}">
                <a16:creationId xmlns:a16="http://schemas.microsoft.com/office/drawing/2014/main" id="{BC99C291-B147-3EBE-D28A-1002F02E5E31}"/>
              </a:ext>
            </a:extLst>
          </xdr:cNvPr>
          <xdr:cNvSpPr>
            <a:spLocks noChangeShapeType="1"/>
          </xdr:cNvSpPr>
        </xdr:nvSpPr>
        <xdr:spPr bwMode="auto">
          <a:xfrm>
            <a:off x="135" y="1403"/>
            <a:ext cx="21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Line 700">
            <a:extLst>
              <a:ext uri="{FF2B5EF4-FFF2-40B4-BE49-F238E27FC236}">
                <a16:creationId xmlns:a16="http://schemas.microsoft.com/office/drawing/2014/main" id="{EDA8B5C0-D2A3-74AB-5C55-A1CB1F337FE5}"/>
              </a:ext>
            </a:extLst>
          </xdr:cNvPr>
          <xdr:cNvSpPr>
            <a:spLocks noChangeShapeType="1"/>
          </xdr:cNvSpPr>
        </xdr:nvSpPr>
        <xdr:spPr bwMode="auto">
          <a:xfrm>
            <a:off x="136" y="1415"/>
            <a:ext cx="19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5" name="Line 703">
            <a:extLst>
              <a:ext uri="{FF2B5EF4-FFF2-40B4-BE49-F238E27FC236}">
                <a16:creationId xmlns:a16="http://schemas.microsoft.com/office/drawing/2014/main" id="{9B990531-B676-F70B-7F20-C4C37DAB5EC9}"/>
              </a:ext>
            </a:extLst>
          </xdr:cNvPr>
          <xdr:cNvSpPr>
            <a:spLocks noChangeShapeType="1"/>
          </xdr:cNvSpPr>
        </xdr:nvSpPr>
        <xdr:spPr bwMode="auto">
          <a:xfrm>
            <a:off x="135" y="1450"/>
            <a:ext cx="10" cy="1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6" name="Line 716">
            <a:extLst>
              <a:ext uri="{FF2B5EF4-FFF2-40B4-BE49-F238E27FC236}">
                <a16:creationId xmlns:a16="http://schemas.microsoft.com/office/drawing/2014/main" id="{37490D77-4BF7-8033-55FF-1A540836C541}"/>
              </a:ext>
            </a:extLst>
          </xdr:cNvPr>
          <xdr:cNvSpPr>
            <a:spLocks noChangeShapeType="1"/>
          </xdr:cNvSpPr>
        </xdr:nvSpPr>
        <xdr:spPr bwMode="auto">
          <a:xfrm>
            <a:off x="124" y="1319"/>
            <a:ext cx="4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" name="Line 718">
            <a:extLst>
              <a:ext uri="{FF2B5EF4-FFF2-40B4-BE49-F238E27FC236}">
                <a16:creationId xmlns:a16="http://schemas.microsoft.com/office/drawing/2014/main" id="{6DC4BFC2-B510-B199-3A8E-099BE8F92285}"/>
              </a:ext>
            </a:extLst>
          </xdr:cNvPr>
          <xdr:cNvSpPr>
            <a:spLocks noChangeShapeType="1"/>
          </xdr:cNvSpPr>
        </xdr:nvSpPr>
        <xdr:spPr bwMode="auto">
          <a:xfrm flipV="1">
            <a:off x="156" y="1314"/>
            <a:ext cx="0" cy="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8" name="Line 720">
            <a:extLst>
              <a:ext uri="{FF2B5EF4-FFF2-40B4-BE49-F238E27FC236}">
                <a16:creationId xmlns:a16="http://schemas.microsoft.com/office/drawing/2014/main" id="{863C1115-0AA8-3B84-E920-8883793843AF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312"/>
            <a:ext cx="0" cy="1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9" name="Line 721">
            <a:extLst>
              <a:ext uri="{FF2B5EF4-FFF2-40B4-BE49-F238E27FC236}">
                <a16:creationId xmlns:a16="http://schemas.microsoft.com/office/drawing/2014/main" id="{566B0902-6C7E-DEF1-0AFA-AE85ACBB24B8}"/>
              </a:ext>
            </a:extLst>
          </xdr:cNvPr>
          <xdr:cNvSpPr>
            <a:spLocks noChangeShapeType="1"/>
          </xdr:cNvSpPr>
        </xdr:nvSpPr>
        <xdr:spPr bwMode="auto">
          <a:xfrm flipV="1">
            <a:off x="271" y="1311"/>
            <a:ext cx="0" cy="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Line 723">
            <a:extLst>
              <a:ext uri="{FF2B5EF4-FFF2-40B4-BE49-F238E27FC236}">
                <a16:creationId xmlns:a16="http://schemas.microsoft.com/office/drawing/2014/main" id="{F26FC866-898A-AD3E-98AD-7648A4C9C4A2}"/>
              </a:ext>
            </a:extLst>
          </xdr:cNvPr>
          <xdr:cNvSpPr>
            <a:spLocks noChangeShapeType="1"/>
          </xdr:cNvSpPr>
        </xdr:nvSpPr>
        <xdr:spPr bwMode="auto">
          <a:xfrm flipV="1">
            <a:off x="131" y="1315"/>
            <a:ext cx="8" cy="7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1" name="Line 724">
            <a:extLst>
              <a:ext uri="{FF2B5EF4-FFF2-40B4-BE49-F238E27FC236}">
                <a16:creationId xmlns:a16="http://schemas.microsoft.com/office/drawing/2014/main" id="{943A162E-5079-8765-962E-7BE7FC23D263}"/>
              </a:ext>
            </a:extLst>
          </xdr:cNvPr>
          <xdr:cNvSpPr>
            <a:spLocks noChangeShapeType="1"/>
          </xdr:cNvSpPr>
        </xdr:nvSpPr>
        <xdr:spPr bwMode="auto">
          <a:xfrm flipV="1">
            <a:off x="153" y="1315"/>
            <a:ext cx="7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2" name="Line 727">
            <a:extLst>
              <a:ext uri="{FF2B5EF4-FFF2-40B4-BE49-F238E27FC236}">
                <a16:creationId xmlns:a16="http://schemas.microsoft.com/office/drawing/2014/main" id="{FDAB7716-995B-3740-3FDB-E672D6647A46}"/>
              </a:ext>
            </a:extLst>
          </xdr:cNvPr>
          <xdr:cNvSpPr>
            <a:spLocks noChangeShapeType="1"/>
          </xdr:cNvSpPr>
        </xdr:nvSpPr>
        <xdr:spPr bwMode="auto">
          <a:xfrm>
            <a:off x="164" y="1364"/>
            <a:ext cx="0" cy="10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Line 729">
            <a:extLst>
              <a:ext uri="{FF2B5EF4-FFF2-40B4-BE49-F238E27FC236}">
                <a16:creationId xmlns:a16="http://schemas.microsoft.com/office/drawing/2014/main" id="{5ED2D7C3-DF1B-19BC-FCD2-3293E5A5E638}"/>
              </a:ext>
            </a:extLst>
          </xdr:cNvPr>
          <xdr:cNvSpPr>
            <a:spLocks noChangeShapeType="1"/>
          </xdr:cNvSpPr>
        </xdr:nvSpPr>
        <xdr:spPr bwMode="auto">
          <a:xfrm>
            <a:off x="160" y="1369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4" name="Line 730">
            <a:extLst>
              <a:ext uri="{FF2B5EF4-FFF2-40B4-BE49-F238E27FC236}">
                <a16:creationId xmlns:a16="http://schemas.microsoft.com/office/drawing/2014/main" id="{4A05C886-0956-A675-76DD-4CF3BCD5A80A}"/>
              </a:ext>
            </a:extLst>
          </xdr:cNvPr>
          <xdr:cNvSpPr>
            <a:spLocks noChangeShapeType="1"/>
          </xdr:cNvSpPr>
        </xdr:nvSpPr>
        <xdr:spPr bwMode="auto">
          <a:xfrm>
            <a:off x="159" y="1460"/>
            <a:ext cx="19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5" name="Line 733">
            <a:extLst>
              <a:ext uri="{FF2B5EF4-FFF2-40B4-BE49-F238E27FC236}">
                <a16:creationId xmlns:a16="http://schemas.microsoft.com/office/drawing/2014/main" id="{216ECA5C-BE02-DBC3-7CD1-57FE87A009E8}"/>
              </a:ext>
            </a:extLst>
          </xdr:cNvPr>
          <xdr:cNvSpPr>
            <a:spLocks noChangeShapeType="1"/>
          </xdr:cNvSpPr>
        </xdr:nvSpPr>
        <xdr:spPr bwMode="auto">
          <a:xfrm flipV="1">
            <a:off x="161" y="1363"/>
            <a:ext cx="7" cy="1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6" name="Line 734">
            <a:extLst>
              <a:ext uri="{FF2B5EF4-FFF2-40B4-BE49-F238E27FC236}">
                <a16:creationId xmlns:a16="http://schemas.microsoft.com/office/drawing/2014/main" id="{088A12EF-22E0-36F0-CE24-B52A3F77261C}"/>
              </a:ext>
            </a:extLst>
          </xdr:cNvPr>
          <xdr:cNvSpPr>
            <a:spLocks noChangeShapeType="1"/>
          </xdr:cNvSpPr>
        </xdr:nvSpPr>
        <xdr:spPr bwMode="auto">
          <a:xfrm flipV="1">
            <a:off x="160" y="1456"/>
            <a:ext cx="9" cy="7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7" name="Freeform 737">
            <a:extLst>
              <a:ext uri="{FF2B5EF4-FFF2-40B4-BE49-F238E27FC236}">
                <a16:creationId xmlns:a16="http://schemas.microsoft.com/office/drawing/2014/main" id="{BF49E5D9-61DE-0329-D6FA-436A58728C8A}"/>
              </a:ext>
            </a:extLst>
          </xdr:cNvPr>
          <xdr:cNvSpPr>
            <a:spLocks/>
          </xdr:cNvSpPr>
        </xdr:nvSpPr>
        <xdr:spPr bwMode="auto">
          <a:xfrm>
            <a:off x="122" y="1487"/>
            <a:ext cx="26" cy="29"/>
          </a:xfrm>
          <a:custGeom>
            <a:avLst/>
            <a:gdLst>
              <a:gd name="T0" fmla="*/ 18 w 26"/>
              <a:gd name="T1" fmla="*/ 1 h 29"/>
              <a:gd name="T2" fmla="*/ 14 w 26"/>
              <a:gd name="T3" fmla="*/ 1 h 29"/>
              <a:gd name="T4" fmla="*/ 9 w 26"/>
              <a:gd name="T5" fmla="*/ 2 h 29"/>
              <a:gd name="T6" fmla="*/ 5 w 26"/>
              <a:gd name="T7" fmla="*/ 3 h 29"/>
              <a:gd name="T8" fmla="*/ 2 w 26"/>
              <a:gd name="T9" fmla="*/ 9 h 29"/>
              <a:gd name="T10" fmla="*/ 0 w 26"/>
              <a:gd name="T11" fmla="*/ 17 h 29"/>
              <a:gd name="T12" fmla="*/ 1 w 26"/>
              <a:gd name="T13" fmla="*/ 24 h 29"/>
              <a:gd name="T14" fmla="*/ 6 w 26"/>
              <a:gd name="T15" fmla="*/ 28 h 29"/>
              <a:gd name="T16" fmla="*/ 16 w 26"/>
              <a:gd name="T17" fmla="*/ 28 h 29"/>
              <a:gd name="T18" fmla="*/ 22 w 26"/>
              <a:gd name="T19" fmla="*/ 26 h 29"/>
              <a:gd name="T20" fmla="*/ 25 w 26"/>
              <a:gd name="T21" fmla="*/ 19 h 29"/>
              <a:gd name="T22" fmla="*/ 25 w 26"/>
              <a:gd name="T23" fmla="*/ 10 h 29"/>
              <a:gd name="T24" fmla="*/ 23 w 26"/>
              <a:gd name="T25" fmla="*/ 2 h 29"/>
              <a:gd name="T26" fmla="*/ 18 w 26"/>
              <a:gd name="T27" fmla="*/ 1 h 29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w 26"/>
              <a:gd name="T43" fmla="*/ 0 h 29"/>
              <a:gd name="T44" fmla="*/ 26 w 26"/>
              <a:gd name="T45" fmla="*/ 29 h 29"/>
            </a:gdLst>
            <a:ahLst/>
            <a:cxnLst>
              <a:cxn ang="T28">
                <a:pos x="T0" y="T1"/>
              </a:cxn>
              <a:cxn ang="T29">
                <a:pos x="T2" y="T3"/>
              </a:cxn>
              <a:cxn ang="T30">
                <a:pos x="T4" y="T5"/>
              </a:cxn>
              <a:cxn ang="T31">
                <a:pos x="T6" y="T7"/>
              </a:cxn>
              <a:cxn ang="T32">
                <a:pos x="T8" y="T9"/>
              </a:cxn>
              <a:cxn ang="T33">
                <a:pos x="T10" y="T11"/>
              </a:cxn>
              <a:cxn ang="T34">
                <a:pos x="T12" y="T13"/>
              </a:cxn>
              <a:cxn ang="T35">
                <a:pos x="T14" y="T15"/>
              </a:cxn>
              <a:cxn ang="T36">
                <a:pos x="T16" y="T17"/>
              </a:cxn>
              <a:cxn ang="T37">
                <a:pos x="T18" y="T19"/>
              </a:cxn>
              <a:cxn ang="T38">
                <a:pos x="T20" y="T21"/>
              </a:cxn>
              <a:cxn ang="T39">
                <a:pos x="T22" y="T23"/>
              </a:cxn>
              <a:cxn ang="T40">
                <a:pos x="T24" y="T25"/>
              </a:cxn>
              <a:cxn ang="T41">
                <a:pos x="T26" y="T27"/>
              </a:cxn>
            </a:cxnLst>
            <a:rect l="T42" t="T43" r="T44" b="T45"/>
            <a:pathLst>
              <a:path w="26" h="29">
                <a:moveTo>
                  <a:pt x="18" y="1"/>
                </a:moveTo>
                <a:cubicBezTo>
                  <a:pt x="17" y="1"/>
                  <a:pt x="15" y="1"/>
                  <a:pt x="14" y="1"/>
                </a:cubicBezTo>
                <a:cubicBezTo>
                  <a:pt x="13" y="1"/>
                  <a:pt x="10" y="2"/>
                  <a:pt x="9" y="2"/>
                </a:cubicBezTo>
                <a:cubicBezTo>
                  <a:pt x="8" y="2"/>
                  <a:pt x="6" y="2"/>
                  <a:pt x="5" y="3"/>
                </a:cubicBezTo>
                <a:cubicBezTo>
                  <a:pt x="4" y="4"/>
                  <a:pt x="3" y="7"/>
                  <a:pt x="2" y="9"/>
                </a:cubicBezTo>
                <a:cubicBezTo>
                  <a:pt x="1" y="11"/>
                  <a:pt x="0" y="15"/>
                  <a:pt x="0" y="17"/>
                </a:cubicBezTo>
                <a:cubicBezTo>
                  <a:pt x="0" y="19"/>
                  <a:pt x="0" y="22"/>
                  <a:pt x="1" y="24"/>
                </a:cubicBezTo>
                <a:cubicBezTo>
                  <a:pt x="2" y="26"/>
                  <a:pt x="4" y="27"/>
                  <a:pt x="6" y="28"/>
                </a:cubicBezTo>
                <a:cubicBezTo>
                  <a:pt x="8" y="29"/>
                  <a:pt x="13" y="28"/>
                  <a:pt x="16" y="28"/>
                </a:cubicBezTo>
                <a:cubicBezTo>
                  <a:pt x="19" y="28"/>
                  <a:pt x="21" y="27"/>
                  <a:pt x="22" y="26"/>
                </a:cubicBezTo>
                <a:cubicBezTo>
                  <a:pt x="23" y="25"/>
                  <a:pt x="24" y="22"/>
                  <a:pt x="25" y="19"/>
                </a:cubicBezTo>
                <a:cubicBezTo>
                  <a:pt x="26" y="16"/>
                  <a:pt x="25" y="13"/>
                  <a:pt x="25" y="10"/>
                </a:cubicBezTo>
                <a:cubicBezTo>
                  <a:pt x="25" y="7"/>
                  <a:pt x="24" y="4"/>
                  <a:pt x="23" y="2"/>
                </a:cubicBezTo>
                <a:cubicBezTo>
                  <a:pt x="22" y="0"/>
                  <a:pt x="19" y="1"/>
                  <a:pt x="18" y="1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8" name="Freeform 741">
            <a:extLst>
              <a:ext uri="{FF2B5EF4-FFF2-40B4-BE49-F238E27FC236}">
                <a16:creationId xmlns:a16="http://schemas.microsoft.com/office/drawing/2014/main" id="{3AD61899-8181-B37C-7316-9187B129F5E5}"/>
              </a:ext>
            </a:extLst>
          </xdr:cNvPr>
          <xdr:cNvSpPr>
            <a:spLocks/>
          </xdr:cNvSpPr>
        </xdr:nvSpPr>
        <xdr:spPr bwMode="auto">
          <a:xfrm>
            <a:off x="111" y="1501"/>
            <a:ext cx="21" cy="19"/>
          </a:xfrm>
          <a:custGeom>
            <a:avLst/>
            <a:gdLst>
              <a:gd name="T0" fmla="*/ 13 w 21"/>
              <a:gd name="T1" fmla="*/ 1 h 19"/>
              <a:gd name="T2" fmla="*/ 9 w 21"/>
              <a:gd name="T3" fmla="*/ 2 h 19"/>
              <a:gd name="T4" fmla="*/ 5 w 21"/>
              <a:gd name="T5" fmla="*/ 6 h 19"/>
              <a:gd name="T6" fmla="*/ 0 w 21"/>
              <a:gd name="T7" fmla="*/ 13 h 19"/>
              <a:gd name="T8" fmla="*/ 3 w 21"/>
              <a:gd name="T9" fmla="*/ 16 h 19"/>
              <a:gd name="T10" fmla="*/ 12 w 21"/>
              <a:gd name="T11" fmla="*/ 18 h 19"/>
              <a:gd name="T12" fmla="*/ 19 w 21"/>
              <a:gd name="T13" fmla="*/ 18 h 19"/>
              <a:gd name="T14" fmla="*/ 20 w 21"/>
              <a:gd name="T15" fmla="*/ 14 h 19"/>
              <a:gd name="T16" fmla="*/ 20 w 21"/>
              <a:gd name="T17" fmla="*/ 6 h 19"/>
              <a:gd name="T18" fmla="*/ 13 w 21"/>
              <a:gd name="T19" fmla="*/ 1 h 19"/>
              <a:gd name="T20" fmla="*/ 0 60000 65536"/>
              <a:gd name="T21" fmla="*/ 0 60000 65536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w 21"/>
              <a:gd name="T31" fmla="*/ 0 h 19"/>
              <a:gd name="T32" fmla="*/ 21 w 21"/>
              <a:gd name="T33" fmla="*/ 19 h 19"/>
            </a:gdLst>
            <a:ahLst/>
            <a:cxnLst>
              <a:cxn ang="T20">
                <a:pos x="T0" y="T1"/>
              </a:cxn>
              <a:cxn ang="T21">
                <a:pos x="T2" y="T3"/>
              </a:cxn>
              <a:cxn ang="T22">
                <a:pos x="T4" y="T5"/>
              </a:cxn>
              <a:cxn ang="T23">
                <a:pos x="T6" y="T7"/>
              </a:cxn>
              <a:cxn ang="T24">
                <a:pos x="T8" y="T9"/>
              </a:cxn>
              <a:cxn ang="T25">
                <a:pos x="T10" y="T11"/>
              </a:cxn>
              <a:cxn ang="T26">
                <a:pos x="T12" y="T13"/>
              </a:cxn>
              <a:cxn ang="T27">
                <a:pos x="T14" y="T15"/>
              </a:cxn>
              <a:cxn ang="T28">
                <a:pos x="T16" y="T17"/>
              </a:cxn>
              <a:cxn ang="T29">
                <a:pos x="T18" y="T19"/>
              </a:cxn>
            </a:cxnLst>
            <a:rect l="T30" t="T31" r="T32" b="T33"/>
            <a:pathLst>
              <a:path w="21" h="19">
                <a:moveTo>
                  <a:pt x="13" y="1"/>
                </a:moveTo>
                <a:cubicBezTo>
                  <a:pt x="11" y="0"/>
                  <a:pt x="10" y="1"/>
                  <a:pt x="9" y="2"/>
                </a:cubicBezTo>
                <a:cubicBezTo>
                  <a:pt x="8" y="3"/>
                  <a:pt x="6" y="4"/>
                  <a:pt x="5" y="6"/>
                </a:cubicBezTo>
                <a:cubicBezTo>
                  <a:pt x="4" y="8"/>
                  <a:pt x="0" y="11"/>
                  <a:pt x="0" y="13"/>
                </a:cubicBezTo>
                <a:cubicBezTo>
                  <a:pt x="0" y="15"/>
                  <a:pt x="1" y="15"/>
                  <a:pt x="3" y="16"/>
                </a:cubicBezTo>
                <a:cubicBezTo>
                  <a:pt x="5" y="17"/>
                  <a:pt x="9" y="18"/>
                  <a:pt x="12" y="18"/>
                </a:cubicBezTo>
                <a:cubicBezTo>
                  <a:pt x="15" y="18"/>
                  <a:pt x="18" y="19"/>
                  <a:pt x="19" y="18"/>
                </a:cubicBezTo>
                <a:cubicBezTo>
                  <a:pt x="20" y="17"/>
                  <a:pt x="20" y="16"/>
                  <a:pt x="20" y="14"/>
                </a:cubicBezTo>
                <a:cubicBezTo>
                  <a:pt x="20" y="12"/>
                  <a:pt x="21" y="8"/>
                  <a:pt x="20" y="6"/>
                </a:cubicBezTo>
                <a:cubicBezTo>
                  <a:pt x="19" y="4"/>
                  <a:pt x="15" y="2"/>
                  <a:pt x="13" y="1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9" name="Freeform 742">
            <a:extLst>
              <a:ext uri="{FF2B5EF4-FFF2-40B4-BE49-F238E27FC236}">
                <a16:creationId xmlns:a16="http://schemas.microsoft.com/office/drawing/2014/main" id="{420DF592-27E2-AF97-3D98-D73B3739D933}"/>
              </a:ext>
            </a:extLst>
          </xdr:cNvPr>
          <xdr:cNvSpPr>
            <a:spLocks/>
          </xdr:cNvSpPr>
        </xdr:nvSpPr>
        <xdr:spPr bwMode="auto">
          <a:xfrm>
            <a:off x="145" y="1488"/>
            <a:ext cx="23" cy="22"/>
          </a:xfrm>
          <a:custGeom>
            <a:avLst/>
            <a:gdLst>
              <a:gd name="T0" fmla="*/ 19 w 23"/>
              <a:gd name="T1" fmla="*/ 4 h 22"/>
              <a:gd name="T2" fmla="*/ 14 w 23"/>
              <a:gd name="T3" fmla="*/ 1 h 22"/>
              <a:gd name="T4" fmla="*/ 9 w 23"/>
              <a:gd name="T5" fmla="*/ 0 h 22"/>
              <a:gd name="T6" fmla="*/ 3 w 23"/>
              <a:gd name="T7" fmla="*/ 4 h 22"/>
              <a:gd name="T8" fmla="*/ 1 w 23"/>
              <a:gd name="T9" fmla="*/ 11 h 22"/>
              <a:gd name="T10" fmla="*/ 1 w 23"/>
              <a:gd name="T11" fmla="*/ 18 h 22"/>
              <a:gd name="T12" fmla="*/ 7 w 23"/>
              <a:gd name="T13" fmla="*/ 19 h 22"/>
              <a:gd name="T14" fmla="*/ 20 w 23"/>
              <a:gd name="T15" fmla="*/ 22 h 22"/>
              <a:gd name="T16" fmla="*/ 23 w 23"/>
              <a:gd name="T17" fmla="*/ 17 h 22"/>
              <a:gd name="T18" fmla="*/ 23 w 23"/>
              <a:gd name="T19" fmla="*/ 12 h 22"/>
              <a:gd name="T20" fmla="*/ 19 w 23"/>
              <a:gd name="T21" fmla="*/ 4 h 22"/>
              <a:gd name="T22" fmla="*/ 0 60000 65536"/>
              <a:gd name="T23" fmla="*/ 0 60000 65536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w 23"/>
              <a:gd name="T34" fmla="*/ 0 h 22"/>
              <a:gd name="T35" fmla="*/ 23 w 23"/>
              <a:gd name="T36" fmla="*/ 22 h 22"/>
            </a:gdLst>
            <a:ahLst/>
            <a:cxnLst>
              <a:cxn ang="T22">
                <a:pos x="T0" y="T1"/>
              </a:cxn>
              <a:cxn ang="T23">
                <a:pos x="T2" y="T3"/>
              </a:cxn>
              <a:cxn ang="T24">
                <a:pos x="T4" y="T5"/>
              </a:cxn>
              <a:cxn ang="T25">
                <a:pos x="T6" y="T7"/>
              </a:cxn>
              <a:cxn ang="T26">
                <a:pos x="T8" y="T9"/>
              </a:cxn>
              <a:cxn ang="T27">
                <a:pos x="T10" y="T11"/>
              </a:cxn>
              <a:cxn ang="T28">
                <a:pos x="T12" y="T13"/>
              </a:cxn>
              <a:cxn ang="T29">
                <a:pos x="T14" y="T15"/>
              </a:cxn>
              <a:cxn ang="T30">
                <a:pos x="T16" y="T17"/>
              </a:cxn>
              <a:cxn ang="T31">
                <a:pos x="T18" y="T19"/>
              </a:cxn>
              <a:cxn ang="T32">
                <a:pos x="T20" y="T21"/>
              </a:cxn>
            </a:cxnLst>
            <a:rect l="T33" t="T34" r="T35" b="T36"/>
            <a:pathLst>
              <a:path w="23" h="22">
                <a:moveTo>
                  <a:pt x="19" y="4"/>
                </a:moveTo>
                <a:cubicBezTo>
                  <a:pt x="18" y="2"/>
                  <a:pt x="15" y="2"/>
                  <a:pt x="14" y="1"/>
                </a:cubicBezTo>
                <a:cubicBezTo>
                  <a:pt x="13" y="0"/>
                  <a:pt x="11" y="0"/>
                  <a:pt x="9" y="0"/>
                </a:cubicBezTo>
                <a:cubicBezTo>
                  <a:pt x="7" y="0"/>
                  <a:pt x="4" y="2"/>
                  <a:pt x="3" y="4"/>
                </a:cubicBezTo>
                <a:cubicBezTo>
                  <a:pt x="2" y="6"/>
                  <a:pt x="1" y="9"/>
                  <a:pt x="1" y="11"/>
                </a:cubicBezTo>
                <a:cubicBezTo>
                  <a:pt x="1" y="13"/>
                  <a:pt x="0" y="17"/>
                  <a:pt x="1" y="18"/>
                </a:cubicBezTo>
                <a:cubicBezTo>
                  <a:pt x="2" y="19"/>
                  <a:pt x="4" y="18"/>
                  <a:pt x="7" y="19"/>
                </a:cubicBezTo>
                <a:cubicBezTo>
                  <a:pt x="10" y="20"/>
                  <a:pt x="17" y="22"/>
                  <a:pt x="20" y="22"/>
                </a:cubicBezTo>
                <a:cubicBezTo>
                  <a:pt x="23" y="22"/>
                  <a:pt x="23" y="19"/>
                  <a:pt x="23" y="17"/>
                </a:cubicBezTo>
                <a:cubicBezTo>
                  <a:pt x="23" y="15"/>
                  <a:pt x="23" y="14"/>
                  <a:pt x="23" y="12"/>
                </a:cubicBezTo>
                <a:cubicBezTo>
                  <a:pt x="23" y="10"/>
                  <a:pt x="20" y="6"/>
                  <a:pt x="19" y="4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80" name="Group 771">
            <a:extLst>
              <a:ext uri="{FF2B5EF4-FFF2-40B4-BE49-F238E27FC236}">
                <a16:creationId xmlns:a16="http://schemas.microsoft.com/office/drawing/2014/main" id="{2D43D658-641F-B120-43C7-004AC0E3E9CC}"/>
              </a:ext>
            </a:extLst>
          </xdr:cNvPr>
          <xdr:cNvGrpSpPr>
            <a:grpSpLocks/>
          </xdr:cNvGrpSpPr>
        </xdr:nvGrpSpPr>
        <xdr:grpSpPr bwMode="auto">
          <a:xfrm>
            <a:off x="81" y="1323"/>
            <a:ext cx="133" cy="199"/>
            <a:chOff x="81" y="1327"/>
            <a:chExt cx="133" cy="195"/>
          </a:xfrm>
        </xdr:grpSpPr>
        <xdr:sp macro="" textlink="">
          <xdr:nvSpPr>
            <xdr:cNvPr id="144" name="Line 772">
              <a:extLst>
                <a:ext uri="{FF2B5EF4-FFF2-40B4-BE49-F238E27FC236}">
                  <a16:creationId xmlns:a16="http://schemas.microsoft.com/office/drawing/2014/main" id="{69B30D3E-50F2-6936-EFDB-367C0D8DF3D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5" y="1327"/>
              <a:ext cx="0" cy="156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5" name="Line 773">
              <a:extLst>
                <a:ext uri="{FF2B5EF4-FFF2-40B4-BE49-F238E27FC236}">
                  <a16:creationId xmlns:a16="http://schemas.microsoft.com/office/drawing/2014/main" id="{047B2265-CF69-9CE8-5E48-44ED6E8DEA5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56" y="1327"/>
              <a:ext cx="0" cy="156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" name="Line 774">
              <a:extLst>
                <a:ext uri="{FF2B5EF4-FFF2-40B4-BE49-F238E27FC236}">
                  <a16:creationId xmlns:a16="http://schemas.microsoft.com/office/drawing/2014/main" id="{0B416784-E7A1-65B4-8A35-9F433708286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0" y="1482"/>
              <a:ext cx="31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7" name="Line 775">
              <a:extLst>
                <a:ext uri="{FF2B5EF4-FFF2-40B4-BE49-F238E27FC236}">
                  <a16:creationId xmlns:a16="http://schemas.microsoft.com/office/drawing/2014/main" id="{55A5FFD4-2F21-8E36-2811-9ABB352EBD14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4" y="1481"/>
              <a:ext cx="26" cy="37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8" name="Line 776">
              <a:extLst>
                <a:ext uri="{FF2B5EF4-FFF2-40B4-BE49-F238E27FC236}">
                  <a16:creationId xmlns:a16="http://schemas.microsoft.com/office/drawing/2014/main" id="{53A13526-6FAE-1E70-18C4-3BFEB00F7C8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61" y="1482"/>
              <a:ext cx="28" cy="36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9" name="Freeform 777">
              <a:extLst>
                <a:ext uri="{FF2B5EF4-FFF2-40B4-BE49-F238E27FC236}">
                  <a16:creationId xmlns:a16="http://schemas.microsoft.com/office/drawing/2014/main" id="{36A9F39F-F8C4-1494-1CFB-94080694568B}"/>
                </a:ext>
              </a:extLst>
            </xdr:cNvPr>
            <xdr:cNvSpPr>
              <a:spLocks/>
            </xdr:cNvSpPr>
          </xdr:nvSpPr>
          <xdr:spPr bwMode="auto">
            <a:xfrm>
              <a:off x="81" y="1504"/>
              <a:ext cx="133" cy="18"/>
            </a:xfrm>
            <a:custGeom>
              <a:avLst/>
              <a:gdLst>
                <a:gd name="T0" fmla="*/ 0 w 133"/>
                <a:gd name="T1" fmla="*/ 1 h 18"/>
                <a:gd name="T2" fmla="*/ 3 w 133"/>
                <a:gd name="T3" fmla="*/ 5 h 18"/>
                <a:gd name="T4" fmla="*/ 10 w 133"/>
                <a:gd name="T5" fmla="*/ 11 h 18"/>
                <a:gd name="T6" fmla="*/ 20 w 133"/>
                <a:gd name="T7" fmla="*/ 13 h 18"/>
                <a:gd name="T8" fmla="*/ 30 w 133"/>
                <a:gd name="T9" fmla="*/ 14 h 18"/>
                <a:gd name="T10" fmla="*/ 52 w 133"/>
                <a:gd name="T11" fmla="*/ 12 h 18"/>
                <a:gd name="T12" fmla="*/ 57 w 133"/>
                <a:gd name="T13" fmla="*/ 8 h 18"/>
                <a:gd name="T14" fmla="*/ 73 w 133"/>
                <a:gd name="T15" fmla="*/ 4 h 18"/>
                <a:gd name="T16" fmla="*/ 80 w 133"/>
                <a:gd name="T17" fmla="*/ 2 h 18"/>
                <a:gd name="T18" fmla="*/ 91 w 133"/>
                <a:gd name="T19" fmla="*/ 1 h 18"/>
                <a:gd name="T20" fmla="*/ 103 w 133"/>
                <a:gd name="T21" fmla="*/ 9 h 18"/>
                <a:gd name="T22" fmla="*/ 109 w 133"/>
                <a:gd name="T23" fmla="*/ 15 h 18"/>
                <a:gd name="T24" fmla="*/ 117 w 133"/>
                <a:gd name="T25" fmla="*/ 17 h 18"/>
                <a:gd name="T26" fmla="*/ 129 w 133"/>
                <a:gd name="T27" fmla="*/ 12 h 18"/>
                <a:gd name="T28" fmla="*/ 133 w 133"/>
                <a:gd name="T29" fmla="*/ 10 h 18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w 133"/>
                <a:gd name="T46" fmla="*/ 0 h 18"/>
                <a:gd name="T47" fmla="*/ 133 w 133"/>
                <a:gd name="T48" fmla="*/ 18 h 18"/>
              </a:gdLst>
              <a:ahLst/>
              <a:cxnLst>
                <a:cxn ang="T30">
                  <a:pos x="T0" y="T1"/>
                </a:cxn>
                <a:cxn ang="T31">
                  <a:pos x="T2" y="T3"/>
                </a:cxn>
                <a:cxn ang="T32">
                  <a:pos x="T4" y="T5"/>
                </a:cxn>
                <a:cxn ang="T33">
                  <a:pos x="T6" y="T7"/>
                </a:cxn>
                <a:cxn ang="T34">
                  <a:pos x="T8" y="T9"/>
                </a:cxn>
                <a:cxn ang="T35">
                  <a:pos x="T10" y="T11"/>
                </a:cxn>
                <a:cxn ang="T36">
                  <a:pos x="T12" y="T13"/>
                </a:cxn>
                <a:cxn ang="T37">
                  <a:pos x="T14" y="T15"/>
                </a:cxn>
                <a:cxn ang="T38">
                  <a:pos x="T16" y="T17"/>
                </a:cxn>
                <a:cxn ang="T39">
                  <a:pos x="T18" y="T19"/>
                </a:cxn>
                <a:cxn ang="T40">
                  <a:pos x="T20" y="T21"/>
                </a:cxn>
                <a:cxn ang="T41">
                  <a:pos x="T22" y="T23"/>
                </a:cxn>
                <a:cxn ang="T42">
                  <a:pos x="T24" y="T25"/>
                </a:cxn>
                <a:cxn ang="T43">
                  <a:pos x="T26" y="T27"/>
                </a:cxn>
                <a:cxn ang="T44">
                  <a:pos x="T28" y="T29"/>
                </a:cxn>
              </a:cxnLst>
              <a:rect l="T45" t="T46" r="T47" b="T48"/>
              <a:pathLst>
                <a:path w="133" h="18">
                  <a:moveTo>
                    <a:pt x="0" y="1"/>
                  </a:moveTo>
                  <a:cubicBezTo>
                    <a:pt x="0" y="2"/>
                    <a:pt x="1" y="3"/>
                    <a:pt x="3" y="5"/>
                  </a:cubicBezTo>
                  <a:cubicBezTo>
                    <a:pt x="5" y="7"/>
                    <a:pt x="7" y="10"/>
                    <a:pt x="10" y="11"/>
                  </a:cubicBezTo>
                  <a:cubicBezTo>
                    <a:pt x="13" y="12"/>
                    <a:pt x="17" y="12"/>
                    <a:pt x="20" y="13"/>
                  </a:cubicBezTo>
                  <a:cubicBezTo>
                    <a:pt x="23" y="14"/>
                    <a:pt x="25" y="14"/>
                    <a:pt x="30" y="14"/>
                  </a:cubicBezTo>
                  <a:cubicBezTo>
                    <a:pt x="35" y="14"/>
                    <a:pt x="48" y="13"/>
                    <a:pt x="52" y="12"/>
                  </a:cubicBezTo>
                  <a:cubicBezTo>
                    <a:pt x="56" y="11"/>
                    <a:pt x="54" y="9"/>
                    <a:pt x="57" y="8"/>
                  </a:cubicBezTo>
                  <a:cubicBezTo>
                    <a:pt x="60" y="7"/>
                    <a:pt x="69" y="5"/>
                    <a:pt x="73" y="4"/>
                  </a:cubicBezTo>
                  <a:cubicBezTo>
                    <a:pt x="77" y="3"/>
                    <a:pt x="77" y="2"/>
                    <a:pt x="80" y="2"/>
                  </a:cubicBezTo>
                  <a:cubicBezTo>
                    <a:pt x="83" y="2"/>
                    <a:pt x="87" y="0"/>
                    <a:pt x="91" y="1"/>
                  </a:cubicBezTo>
                  <a:cubicBezTo>
                    <a:pt x="95" y="2"/>
                    <a:pt x="100" y="7"/>
                    <a:pt x="103" y="9"/>
                  </a:cubicBezTo>
                  <a:cubicBezTo>
                    <a:pt x="106" y="11"/>
                    <a:pt x="107" y="14"/>
                    <a:pt x="109" y="15"/>
                  </a:cubicBezTo>
                  <a:cubicBezTo>
                    <a:pt x="111" y="16"/>
                    <a:pt x="114" y="18"/>
                    <a:pt x="117" y="17"/>
                  </a:cubicBezTo>
                  <a:cubicBezTo>
                    <a:pt x="120" y="16"/>
                    <a:pt x="126" y="13"/>
                    <a:pt x="129" y="12"/>
                  </a:cubicBezTo>
                  <a:cubicBezTo>
                    <a:pt x="132" y="11"/>
                    <a:pt x="132" y="10"/>
                    <a:pt x="133" y="10"/>
                  </a:cubicBezTo>
                </a:path>
              </a:pathLst>
            </a:cu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0" name="Freeform 778">
              <a:extLst>
                <a:ext uri="{FF2B5EF4-FFF2-40B4-BE49-F238E27FC236}">
                  <a16:creationId xmlns:a16="http://schemas.microsoft.com/office/drawing/2014/main" id="{A7B58722-984C-BE61-5016-D813B98B5505}"/>
                </a:ext>
              </a:extLst>
            </xdr:cNvPr>
            <xdr:cNvSpPr>
              <a:spLocks/>
            </xdr:cNvSpPr>
          </xdr:nvSpPr>
          <xdr:spPr bwMode="auto">
            <a:xfrm>
              <a:off x="117" y="1332"/>
              <a:ext cx="51" cy="7"/>
            </a:xfrm>
            <a:custGeom>
              <a:avLst/>
              <a:gdLst>
                <a:gd name="T0" fmla="*/ 0 w 51"/>
                <a:gd name="T1" fmla="*/ 7 h 7"/>
                <a:gd name="T2" fmla="*/ 8 w 51"/>
                <a:gd name="T3" fmla="*/ 3 h 7"/>
                <a:gd name="T4" fmla="*/ 20 w 51"/>
                <a:gd name="T5" fmla="*/ 3 h 7"/>
                <a:gd name="T6" fmla="*/ 27 w 51"/>
                <a:gd name="T7" fmla="*/ 5 h 7"/>
                <a:gd name="T8" fmla="*/ 32 w 51"/>
                <a:gd name="T9" fmla="*/ 6 h 7"/>
                <a:gd name="T10" fmla="*/ 38 w 51"/>
                <a:gd name="T11" fmla="*/ 5 h 7"/>
                <a:gd name="T12" fmla="*/ 46 w 51"/>
                <a:gd name="T13" fmla="*/ 4 h 7"/>
                <a:gd name="T14" fmla="*/ 51 w 51"/>
                <a:gd name="T15" fmla="*/ 0 h 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51"/>
                <a:gd name="T25" fmla="*/ 0 h 7"/>
                <a:gd name="T26" fmla="*/ 51 w 51"/>
                <a:gd name="T27" fmla="*/ 7 h 7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51" h="7">
                  <a:moveTo>
                    <a:pt x="0" y="7"/>
                  </a:moveTo>
                  <a:cubicBezTo>
                    <a:pt x="2" y="5"/>
                    <a:pt x="5" y="4"/>
                    <a:pt x="8" y="3"/>
                  </a:cubicBezTo>
                  <a:cubicBezTo>
                    <a:pt x="11" y="2"/>
                    <a:pt x="17" y="3"/>
                    <a:pt x="20" y="3"/>
                  </a:cubicBezTo>
                  <a:cubicBezTo>
                    <a:pt x="23" y="3"/>
                    <a:pt x="25" y="4"/>
                    <a:pt x="27" y="5"/>
                  </a:cubicBezTo>
                  <a:cubicBezTo>
                    <a:pt x="29" y="6"/>
                    <a:pt x="30" y="6"/>
                    <a:pt x="32" y="6"/>
                  </a:cubicBezTo>
                  <a:cubicBezTo>
                    <a:pt x="34" y="6"/>
                    <a:pt x="36" y="5"/>
                    <a:pt x="38" y="5"/>
                  </a:cubicBezTo>
                  <a:cubicBezTo>
                    <a:pt x="40" y="5"/>
                    <a:pt x="44" y="5"/>
                    <a:pt x="46" y="4"/>
                  </a:cubicBezTo>
                  <a:cubicBezTo>
                    <a:pt x="48" y="3"/>
                    <a:pt x="50" y="0"/>
                    <a:pt x="51" y="0"/>
                  </a:cubicBezTo>
                </a:path>
              </a:pathLst>
            </a:cu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1" name="Line 779">
              <a:extLst>
                <a:ext uri="{FF2B5EF4-FFF2-40B4-BE49-F238E27FC236}">
                  <a16:creationId xmlns:a16="http://schemas.microsoft.com/office/drawing/2014/main" id="{3A53347C-5372-EAC9-B67D-F95D30287A6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4" y="1456"/>
              <a:ext cx="23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81" name="Line 780">
            <a:extLst>
              <a:ext uri="{FF2B5EF4-FFF2-40B4-BE49-F238E27FC236}">
                <a16:creationId xmlns:a16="http://schemas.microsoft.com/office/drawing/2014/main" id="{9AF9B466-103F-5A61-80FB-F714F1CAF91E}"/>
              </a:ext>
            </a:extLst>
          </xdr:cNvPr>
          <xdr:cNvSpPr>
            <a:spLocks noChangeShapeType="1"/>
          </xdr:cNvSpPr>
        </xdr:nvSpPr>
        <xdr:spPr bwMode="auto">
          <a:xfrm>
            <a:off x="135" y="1369"/>
            <a:ext cx="2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" name="Line 781">
            <a:extLst>
              <a:ext uri="{FF2B5EF4-FFF2-40B4-BE49-F238E27FC236}">
                <a16:creationId xmlns:a16="http://schemas.microsoft.com/office/drawing/2014/main" id="{3E934F3B-3AAB-44F2-EF8F-96770BFA8A7F}"/>
              </a:ext>
            </a:extLst>
          </xdr:cNvPr>
          <xdr:cNvSpPr>
            <a:spLocks noChangeShapeType="1"/>
          </xdr:cNvSpPr>
        </xdr:nvSpPr>
        <xdr:spPr bwMode="auto">
          <a:xfrm flipV="1">
            <a:off x="136" y="1369"/>
            <a:ext cx="16" cy="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3" name="Line 782">
            <a:extLst>
              <a:ext uri="{FF2B5EF4-FFF2-40B4-BE49-F238E27FC236}">
                <a16:creationId xmlns:a16="http://schemas.microsoft.com/office/drawing/2014/main" id="{742C9B08-9028-17C1-FF82-DAA7AD8129AC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374"/>
            <a:ext cx="21" cy="1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4" name="Line 783">
            <a:extLst>
              <a:ext uri="{FF2B5EF4-FFF2-40B4-BE49-F238E27FC236}">
                <a16:creationId xmlns:a16="http://schemas.microsoft.com/office/drawing/2014/main" id="{AAF2B258-0B18-388C-E051-B7BC397CA831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383"/>
            <a:ext cx="21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5" name="Line 784">
            <a:extLst>
              <a:ext uri="{FF2B5EF4-FFF2-40B4-BE49-F238E27FC236}">
                <a16:creationId xmlns:a16="http://schemas.microsoft.com/office/drawing/2014/main" id="{EB6120F5-32CD-74F3-D267-0862EB9FB5E8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404"/>
            <a:ext cx="21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6" name="Line 785">
            <a:extLst>
              <a:ext uri="{FF2B5EF4-FFF2-40B4-BE49-F238E27FC236}">
                <a16:creationId xmlns:a16="http://schemas.microsoft.com/office/drawing/2014/main" id="{37CA9784-94DE-7E73-6FF7-B3A0664DFBAB}"/>
              </a:ext>
            </a:extLst>
          </xdr:cNvPr>
          <xdr:cNvSpPr>
            <a:spLocks noChangeShapeType="1"/>
          </xdr:cNvSpPr>
        </xdr:nvSpPr>
        <xdr:spPr bwMode="auto">
          <a:xfrm>
            <a:off x="135" y="1373"/>
            <a:ext cx="21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7" name="Line 786">
            <a:extLst>
              <a:ext uri="{FF2B5EF4-FFF2-40B4-BE49-F238E27FC236}">
                <a16:creationId xmlns:a16="http://schemas.microsoft.com/office/drawing/2014/main" id="{BF647308-1AFD-4585-7C84-BC803D14B9E4}"/>
              </a:ext>
            </a:extLst>
          </xdr:cNvPr>
          <xdr:cNvSpPr>
            <a:spLocks noChangeShapeType="1"/>
          </xdr:cNvSpPr>
        </xdr:nvSpPr>
        <xdr:spPr bwMode="auto">
          <a:xfrm>
            <a:off x="144" y="1369"/>
            <a:ext cx="13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8" name="Line 787">
            <a:extLst>
              <a:ext uri="{FF2B5EF4-FFF2-40B4-BE49-F238E27FC236}">
                <a16:creationId xmlns:a16="http://schemas.microsoft.com/office/drawing/2014/main" id="{8CC73C1C-84CB-1C78-4E29-028AFDE0B300}"/>
              </a:ext>
            </a:extLst>
          </xdr:cNvPr>
          <xdr:cNvSpPr>
            <a:spLocks noChangeShapeType="1"/>
          </xdr:cNvSpPr>
        </xdr:nvSpPr>
        <xdr:spPr bwMode="auto">
          <a:xfrm>
            <a:off x="135" y="1382"/>
            <a:ext cx="21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9" name="Line 788">
            <a:extLst>
              <a:ext uri="{FF2B5EF4-FFF2-40B4-BE49-F238E27FC236}">
                <a16:creationId xmlns:a16="http://schemas.microsoft.com/office/drawing/2014/main" id="{E43BF92B-0347-794D-C5EA-6444807CDB57}"/>
              </a:ext>
            </a:extLst>
          </xdr:cNvPr>
          <xdr:cNvSpPr>
            <a:spLocks noChangeShapeType="1"/>
          </xdr:cNvSpPr>
        </xdr:nvSpPr>
        <xdr:spPr bwMode="auto">
          <a:xfrm>
            <a:off x="135" y="1393"/>
            <a:ext cx="22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0" name="Line 789">
            <a:extLst>
              <a:ext uri="{FF2B5EF4-FFF2-40B4-BE49-F238E27FC236}">
                <a16:creationId xmlns:a16="http://schemas.microsoft.com/office/drawing/2014/main" id="{4B462C31-F8E0-91FA-BE54-99D6768D9E28}"/>
              </a:ext>
            </a:extLst>
          </xdr:cNvPr>
          <xdr:cNvSpPr>
            <a:spLocks noChangeShapeType="1"/>
          </xdr:cNvSpPr>
        </xdr:nvSpPr>
        <xdr:spPr bwMode="auto">
          <a:xfrm>
            <a:off x="135" y="1403"/>
            <a:ext cx="21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1" name="Line 790">
            <a:extLst>
              <a:ext uri="{FF2B5EF4-FFF2-40B4-BE49-F238E27FC236}">
                <a16:creationId xmlns:a16="http://schemas.microsoft.com/office/drawing/2014/main" id="{D2756A65-784A-03AA-0E95-F1E2DC89CDA5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394"/>
            <a:ext cx="21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2" name="Line 791">
            <a:extLst>
              <a:ext uri="{FF2B5EF4-FFF2-40B4-BE49-F238E27FC236}">
                <a16:creationId xmlns:a16="http://schemas.microsoft.com/office/drawing/2014/main" id="{5FF6453A-DE69-8376-D201-5D1BBE26B7FC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414"/>
            <a:ext cx="21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3" name="Line 792">
            <a:extLst>
              <a:ext uri="{FF2B5EF4-FFF2-40B4-BE49-F238E27FC236}">
                <a16:creationId xmlns:a16="http://schemas.microsoft.com/office/drawing/2014/main" id="{6E349738-B83A-A27C-7EDB-63864F1CFFE3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424"/>
            <a:ext cx="21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94" name="Group 793">
            <a:extLst>
              <a:ext uri="{FF2B5EF4-FFF2-40B4-BE49-F238E27FC236}">
                <a16:creationId xmlns:a16="http://schemas.microsoft.com/office/drawing/2014/main" id="{BC7F51E2-356F-DCF2-3352-DA797F575216}"/>
              </a:ext>
            </a:extLst>
          </xdr:cNvPr>
          <xdr:cNvGrpSpPr>
            <a:grpSpLocks/>
          </xdr:cNvGrpSpPr>
        </xdr:nvGrpSpPr>
        <xdr:grpSpPr bwMode="auto">
          <a:xfrm>
            <a:off x="81" y="1323"/>
            <a:ext cx="133" cy="199"/>
            <a:chOff x="81" y="1327"/>
            <a:chExt cx="133" cy="195"/>
          </a:xfrm>
        </xdr:grpSpPr>
        <xdr:sp macro="" textlink="">
          <xdr:nvSpPr>
            <xdr:cNvPr id="136" name="Line 794">
              <a:extLst>
                <a:ext uri="{FF2B5EF4-FFF2-40B4-BE49-F238E27FC236}">
                  <a16:creationId xmlns:a16="http://schemas.microsoft.com/office/drawing/2014/main" id="{CA13279E-4BE7-5039-2CDE-F96BD069FA9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5" y="1327"/>
              <a:ext cx="0" cy="156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7" name="Line 795">
              <a:extLst>
                <a:ext uri="{FF2B5EF4-FFF2-40B4-BE49-F238E27FC236}">
                  <a16:creationId xmlns:a16="http://schemas.microsoft.com/office/drawing/2014/main" id="{B2B8207C-B2E4-C499-34A0-8632DC54F26C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56" y="1327"/>
              <a:ext cx="0" cy="156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8" name="Line 796">
              <a:extLst>
                <a:ext uri="{FF2B5EF4-FFF2-40B4-BE49-F238E27FC236}">
                  <a16:creationId xmlns:a16="http://schemas.microsoft.com/office/drawing/2014/main" id="{F144EA4E-EB90-C010-0476-C91BA41747C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0" y="1482"/>
              <a:ext cx="31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9" name="Line 797">
              <a:extLst>
                <a:ext uri="{FF2B5EF4-FFF2-40B4-BE49-F238E27FC236}">
                  <a16:creationId xmlns:a16="http://schemas.microsoft.com/office/drawing/2014/main" id="{B2553EB3-E1B6-DFF4-9241-318D191E2C4E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04" y="1481"/>
              <a:ext cx="26" cy="37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0" name="Line 798">
              <a:extLst>
                <a:ext uri="{FF2B5EF4-FFF2-40B4-BE49-F238E27FC236}">
                  <a16:creationId xmlns:a16="http://schemas.microsoft.com/office/drawing/2014/main" id="{74763C8B-3B21-F369-C54B-2232E5702D1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61" y="1482"/>
              <a:ext cx="28" cy="36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1" name="Freeform 799">
              <a:extLst>
                <a:ext uri="{FF2B5EF4-FFF2-40B4-BE49-F238E27FC236}">
                  <a16:creationId xmlns:a16="http://schemas.microsoft.com/office/drawing/2014/main" id="{70236D09-0890-75B2-2D39-C68DF645BD08}"/>
                </a:ext>
              </a:extLst>
            </xdr:cNvPr>
            <xdr:cNvSpPr>
              <a:spLocks/>
            </xdr:cNvSpPr>
          </xdr:nvSpPr>
          <xdr:spPr bwMode="auto">
            <a:xfrm>
              <a:off x="81" y="1504"/>
              <a:ext cx="133" cy="18"/>
            </a:xfrm>
            <a:custGeom>
              <a:avLst/>
              <a:gdLst>
                <a:gd name="T0" fmla="*/ 0 w 133"/>
                <a:gd name="T1" fmla="*/ 1 h 18"/>
                <a:gd name="T2" fmla="*/ 3 w 133"/>
                <a:gd name="T3" fmla="*/ 5 h 18"/>
                <a:gd name="T4" fmla="*/ 10 w 133"/>
                <a:gd name="T5" fmla="*/ 11 h 18"/>
                <a:gd name="T6" fmla="*/ 20 w 133"/>
                <a:gd name="T7" fmla="*/ 13 h 18"/>
                <a:gd name="T8" fmla="*/ 30 w 133"/>
                <a:gd name="T9" fmla="*/ 14 h 18"/>
                <a:gd name="T10" fmla="*/ 52 w 133"/>
                <a:gd name="T11" fmla="*/ 12 h 18"/>
                <a:gd name="T12" fmla="*/ 57 w 133"/>
                <a:gd name="T13" fmla="*/ 8 h 18"/>
                <a:gd name="T14" fmla="*/ 73 w 133"/>
                <a:gd name="T15" fmla="*/ 4 h 18"/>
                <a:gd name="T16" fmla="*/ 80 w 133"/>
                <a:gd name="T17" fmla="*/ 2 h 18"/>
                <a:gd name="T18" fmla="*/ 91 w 133"/>
                <a:gd name="T19" fmla="*/ 1 h 18"/>
                <a:gd name="T20" fmla="*/ 103 w 133"/>
                <a:gd name="T21" fmla="*/ 9 h 18"/>
                <a:gd name="T22" fmla="*/ 109 w 133"/>
                <a:gd name="T23" fmla="*/ 15 h 18"/>
                <a:gd name="T24" fmla="*/ 117 w 133"/>
                <a:gd name="T25" fmla="*/ 17 h 18"/>
                <a:gd name="T26" fmla="*/ 129 w 133"/>
                <a:gd name="T27" fmla="*/ 12 h 18"/>
                <a:gd name="T28" fmla="*/ 133 w 133"/>
                <a:gd name="T29" fmla="*/ 10 h 18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w 133"/>
                <a:gd name="T46" fmla="*/ 0 h 18"/>
                <a:gd name="T47" fmla="*/ 133 w 133"/>
                <a:gd name="T48" fmla="*/ 18 h 18"/>
              </a:gdLst>
              <a:ahLst/>
              <a:cxnLst>
                <a:cxn ang="T30">
                  <a:pos x="T0" y="T1"/>
                </a:cxn>
                <a:cxn ang="T31">
                  <a:pos x="T2" y="T3"/>
                </a:cxn>
                <a:cxn ang="T32">
                  <a:pos x="T4" y="T5"/>
                </a:cxn>
                <a:cxn ang="T33">
                  <a:pos x="T6" y="T7"/>
                </a:cxn>
                <a:cxn ang="T34">
                  <a:pos x="T8" y="T9"/>
                </a:cxn>
                <a:cxn ang="T35">
                  <a:pos x="T10" y="T11"/>
                </a:cxn>
                <a:cxn ang="T36">
                  <a:pos x="T12" y="T13"/>
                </a:cxn>
                <a:cxn ang="T37">
                  <a:pos x="T14" y="T15"/>
                </a:cxn>
                <a:cxn ang="T38">
                  <a:pos x="T16" y="T17"/>
                </a:cxn>
                <a:cxn ang="T39">
                  <a:pos x="T18" y="T19"/>
                </a:cxn>
                <a:cxn ang="T40">
                  <a:pos x="T20" y="T21"/>
                </a:cxn>
                <a:cxn ang="T41">
                  <a:pos x="T22" y="T23"/>
                </a:cxn>
                <a:cxn ang="T42">
                  <a:pos x="T24" y="T25"/>
                </a:cxn>
                <a:cxn ang="T43">
                  <a:pos x="T26" y="T27"/>
                </a:cxn>
                <a:cxn ang="T44">
                  <a:pos x="T28" y="T29"/>
                </a:cxn>
              </a:cxnLst>
              <a:rect l="T45" t="T46" r="T47" b="T48"/>
              <a:pathLst>
                <a:path w="133" h="18">
                  <a:moveTo>
                    <a:pt x="0" y="1"/>
                  </a:moveTo>
                  <a:cubicBezTo>
                    <a:pt x="0" y="2"/>
                    <a:pt x="1" y="3"/>
                    <a:pt x="3" y="5"/>
                  </a:cubicBezTo>
                  <a:cubicBezTo>
                    <a:pt x="5" y="7"/>
                    <a:pt x="7" y="10"/>
                    <a:pt x="10" y="11"/>
                  </a:cubicBezTo>
                  <a:cubicBezTo>
                    <a:pt x="13" y="12"/>
                    <a:pt x="17" y="12"/>
                    <a:pt x="20" y="13"/>
                  </a:cubicBezTo>
                  <a:cubicBezTo>
                    <a:pt x="23" y="14"/>
                    <a:pt x="25" y="14"/>
                    <a:pt x="30" y="14"/>
                  </a:cubicBezTo>
                  <a:cubicBezTo>
                    <a:pt x="35" y="14"/>
                    <a:pt x="48" y="13"/>
                    <a:pt x="52" y="12"/>
                  </a:cubicBezTo>
                  <a:cubicBezTo>
                    <a:pt x="56" y="11"/>
                    <a:pt x="54" y="9"/>
                    <a:pt x="57" y="8"/>
                  </a:cubicBezTo>
                  <a:cubicBezTo>
                    <a:pt x="60" y="7"/>
                    <a:pt x="69" y="5"/>
                    <a:pt x="73" y="4"/>
                  </a:cubicBezTo>
                  <a:cubicBezTo>
                    <a:pt x="77" y="3"/>
                    <a:pt x="77" y="2"/>
                    <a:pt x="80" y="2"/>
                  </a:cubicBezTo>
                  <a:cubicBezTo>
                    <a:pt x="83" y="2"/>
                    <a:pt x="87" y="0"/>
                    <a:pt x="91" y="1"/>
                  </a:cubicBezTo>
                  <a:cubicBezTo>
                    <a:pt x="95" y="2"/>
                    <a:pt x="100" y="7"/>
                    <a:pt x="103" y="9"/>
                  </a:cubicBezTo>
                  <a:cubicBezTo>
                    <a:pt x="106" y="11"/>
                    <a:pt x="107" y="14"/>
                    <a:pt x="109" y="15"/>
                  </a:cubicBezTo>
                  <a:cubicBezTo>
                    <a:pt x="111" y="16"/>
                    <a:pt x="114" y="18"/>
                    <a:pt x="117" y="17"/>
                  </a:cubicBezTo>
                  <a:cubicBezTo>
                    <a:pt x="120" y="16"/>
                    <a:pt x="126" y="13"/>
                    <a:pt x="129" y="12"/>
                  </a:cubicBezTo>
                  <a:cubicBezTo>
                    <a:pt x="132" y="11"/>
                    <a:pt x="132" y="10"/>
                    <a:pt x="133" y="10"/>
                  </a:cubicBezTo>
                </a:path>
              </a:pathLst>
            </a:cu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2" name="Freeform 800">
              <a:extLst>
                <a:ext uri="{FF2B5EF4-FFF2-40B4-BE49-F238E27FC236}">
                  <a16:creationId xmlns:a16="http://schemas.microsoft.com/office/drawing/2014/main" id="{2A3CC73D-882A-9F16-0DAD-CE7FCFE52425}"/>
                </a:ext>
              </a:extLst>
            </xdr:cNvPr>
            <xdr:cNvSpPr>
              <a:spLocks/>
            </xdr:cNvSpPr>
          </xdr:nvSpPr>
          <xdr:spPr bwMode="auto">
            <a:xfrm>
              <a:off x="117" y="1332"/>
              <a:ext cx="51" cy="7"/>
            </a:xfrm>
            <a:custGeom>
              <a:avLst/>
              <a:gdLst>
                <a:gd name="T0" fmla="*/ 0 w 51"/>
                <a:gd name="T1" fmla="*/ 7 h 7"/>
                <a:gd name="T2" fmla="*/ 8 w 51"/>
                <a:gd name="T3" fmla="*/ 3 h 7"/>
                <a:gd name="T4" fmla="*/ 20 w 51"/>
                <a:gd name="T5" fmla="*/ 3 h 7"/>
                <a:gd name="T6" fmla="*/ 27 w 51"/>
                <a:gd name="T7" fmla="*/ 5 h 7"/>
                <a:gd name="T8" fmla="*/ 32 w 51"/>
                <a:gd name="T9" fmla="*/ 6 h 7"/>
                <a:gd name="T10" fmla="*/ 38 w 51"/>
                <a:gd name="T11" fmla="*/ 5 h 7"/>
                <a:gd name="T12" fmla="*/ 46 w 51"/>
                <a:gd name="T13" fmla="*/ 4 h 7"/>
                <a:gd name="T14" fmla="*/ 51 w 51"/>
                <a:gd name="T15" fmla="*/ 0 h 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w 51"/>
                <a:gd name="T25" fmla="*/ 0 h 7"/>
                <a:gd name="T26" fmla="*/ 51 w 51"/>
                <a:gd name="T27" fmla="*/ 7 h 7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T24" t="T25" r="T26" b="T27"/>
              <a:pathLst>
                <a:path w="51" h="7">
                  <a:moveTo>
                    <a:pt x="0" y="7"/>
                  </a:moveTo>
                  <a:cubicBezTo>
                    <a:pt x="2" y="5"/>
                    <a:pt x="5" y="4"/>
                    <a:pt x="8" y="3"/>
                  </a:cubicBezTo>
                  <a:cubicBezTo>
                    <a:pt x="11" y="2"/>
                    <a:pt x="17" y="3"/>
                    <a:pt x="20" y="3"/>
                  </a:cubicBezTo>
                  <a:cubicBezTo>
                    <a:pt x="23" y="3"/>
                    <a:pt x="25" y="4"/>
                    <a:pt x="27" y="5"/>
                  </a:cubicBezTo>
                  <a:cubicBezTo>
                    <a:pt x="29" y="6"/>
                    <a:pt x="30" y="6"/>
                    <a:pt x="32" y="6"/>
                  </a:cubicBezTo>
                  <a:cubicBezTo>
                    <a:pt x="34" y="6"/>
                    <a:pt x="36" y="5"/>
                    <a:pt x="38" y="5"/>
                  </a:cubicBezTo>
                  <a:cubicBezTo>
                    <a:pt x="40" y="5"/>
                    <a:pt x="44" y="5"/>
                    <a:pt x="46" y="4"/>
                  </a:cubicBezTo>
                  <a:cubicBezTo>
                    <a:pt x="48" y="3"/>
                    <a:pt x="50" y="0"/>
                    <a:pt x="51" y="0"/>
                  </a:cubicBezTo>
                </a:path>
              </a:pathLst>
            </a:cu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3" name="Line 801">
              <a:extLst>
                <a:ext uri="{FF2B5EF4-FFF2-40B4-BE49-F238E27FC236}">
                  <a16:creationId xmlns:a16="http://schemas.microsoft.com/office/drawing/2014/main" id="{4929C134-FD03-5F10-4FCD-5672E43F5AE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4" y="1456"/>
              <a:ext cx="23" cy="0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95" name="Line 802">
            <a:extLst>
              <a:ext uri="{FF2B5EF4-FFF2-40B4-BE49-F238E27FC236}">
                <a16:creationId xmlns:a16="http://schemas.microsoft.com/office/drawing/2014/main" id="{203FDD68-DDA2-1ABF-A05D-C6E75017A88C}"/>
              </a:ext>
            </a:extLst>
          </xdr:cNvPr>
          <xdr:cNvSpPr>
            <a:spLocks noChangeShapeType="1"/>
          </xdr:cNvSpPr>
        </xdr:nvSpPr>
        <xdr:spPr bwMode="auto">
          <a:xfrm>
            <a:off x="135" y="1369"/>
            <a:ext cx="22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6" name="Line 803">
            <a:extLst>
              <a:ext uri="{FF2B5EF4-FFF2-40B4-BE49-F238E27FC236}">
                <a16:creationId xmlns:a16="http://schemas.microsoft.com/office/drawing/2014/main" id="{45425555-EA91-417B-AA6E-2657900DAA4A}"/>
              </a:ext>
            </a:extLst>
          </xdr:cNvPr>
          <xdr:cNvSpPr>
            <a:spLocks noChangeShapeType="1"/>
          </xdr:cNvSpPr>
        </xdr:nvSpPr>
        <xdr:spPr bwMode="auto">
          <a:xfrm flipV="1">
            <a:off x="136" y="1369"/>
            <a:ext cx="16" cy="9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7" name="Line 804">
            <a:extLst>
              <a:ext uri="{FF2B5EF4-FFF2-40B4-BE49-F238E27FC236}">
                <a16:creationId xmlns:a16="http://schemas.microsoft.com/office/drawing/2014/main" id="{1058594E-BF64-824F-6B53-3015EEBCD01E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374"/>
            <a:ext cx="21" cy="13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8" name="Line 805">
            <a:extLst>
              <a:ext uri="{FF2B5EF4-FFF2-40B4-BE49-F238E27FC236}">
                <a16:creationId xmlns:a16="http://schemas.microsoft.com/office/drawing/2014/main" id="{AF08EFB1-0659-DDD2-1D98-59BB2C597CE7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383"/>
            <a:ext cx="21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9" name="Line 806">
            <a:extLst>
              <a:ext uri="{FF2B5EF4-FFF2-40B4-BE49-F238E27FC236}">
                <a16:creationId xmlns:a16="http://schemas.microsoft.com/office/drawing/2014/main" id="{7F3519A1-6319-F8EF-9325-CEB9F9B4DFC7}"/>
              </a:ext>
            </a:extLst>
          </xdr:cNvPr>
          <xdr:cNvSpPr>
            <a:spLocks noChangeShapeType="1"/>
          </xdr:cNvSpPr>
        </xdr:nvSpPr>
        <xdr:spPr bwMode="auto">
          <a:xfrm flipV="1">
            <a:off x="135" y="1404"/>
            <a:ext cx="21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0" name="Line 807">
            <a:extLst>
              <a:ext uri="{FF2B5EF4-FFF2-40B4-BE49-F238E27FC236}">
                <a16:creationId xmlns:a16="http://schemas.microsoft.com/office/drawing/2014/main" id="{1CD566B6-3ED1-F49C-CA6D-EEE207A0A133}"/>
              </a:ext>
            </a:extLst>
          </xdr:cNvPr>
          <xdr:cNvSpPr>
            <a:spLocks noChangeShapeType="1"/>
          </xdr:cNvSpPr>
        </xdr:nvSpPr>
        <xdr:spPr bwMode="auto">
          <a:xfrm>
            <a:off x="135" y="1373"/>
            <a:ext cx="21" cy="1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1" name="Line 808">
            <a:extLst>
              <a:ext uri="{FF2B5EF4-FFF2-40B4-BE49-F238E27FC236}">
                <a16:creationId xmlns:a16="http://schemas.microsoft.com/office/drawing/2014/main" id="{20654401-EA5A-3DA4-8FD1-0CEC63FA1AE5}"/>
              </a:ext>
            </a:extLst>
          </xdr:cNvPr>
          <xdr:cNvSpPr>
            <a:spLocks noChangeShapeType="1"/>
          </xdr:cNvSpPr>
        </xdr:nvSpPr>
        <xdr:spPr bwMode="auto">
          <a:xfrm>
            <a:off x="144" y="1369"/>
            <a:ext cx="13" cy="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" name="Line 809">
            <a:extLst>
              <a:ext uri="{FF2B5EF4-FFF2-40B4-BE49-F238E27FC236}">
                <a16:creationId xmlns:a16="http://schemas.microsoft.com/office/drawing/2014/main" id="{CDA32769-E510-F13A-F082-65D7A5B373D4}"/>
              </a:ext>
            </a:extLst>
          </xdr:cNvPr>
          <xdr:cNvSpPr>
            <a:spLocks noChangeShapeType="1"/>
          </xdr:cNvSpPr>
        </xdr:nvSpPr>
        <xdr:spPr bwMode="auto">
          <a:xfrm>
            <a:off x="135" y="1382"/>
            <a:ext cx="21" cy="1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" name="Line 810">
            <a:extLst>
              <a:ext uri="{FF2B5EF4-FFF2-40B4-BE49-F238E27FC236}">
                <a16:creationId xmlns:a16="http://schemas.microsoft.com/office/drawing/2014/main" id="{1DD23041-A2EC-B826-412B-552CB73474A6}"/>
              </a:ext>
            </a:extLst>
          </xdr:cNvPr>
          <xdr:cNvSpPr>
            <a:spLocks noChangeShapeType="1"/>
          </xdr:cNvSpPr>
        </xdr:nvSpPr>
        <xdr:spPr bwMode="auto">
          <a:xfrm>
            <a:off x="135" y="1393"/>
            <a:ext cx="22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4" name="Line 811">
            <a:extLst>
              <a:ext uri="{FF2B5EF4-FFF2-40B4-BE49-F238E27FC236}">
                <a16:creationId xmlns:a16="http://schemas.microsoft.com/office/drawing/2014/main" id="{049FD634-9DAA-84F2-AFAF-8400A48FE747}"/>
              </a:ext>
            </a:extLst>
          </xdr:cNvPr>
          <xdr:cNvSpPr>
            <a:spLocks noChangeShapeType="1"/>
          </xdr:cNvSpPr>
        </xdr:nvSpPr>
        <xdr:spPr bwMode="auto">
          <a:xfrm>
            <a:off x="135" y="1403"/>
            <a:ext cx="21" cy="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grpSp>
        <xdr:nvGrpSpPr>
          <xdr:cNvPr id="105" name="Group 835">
            <a:extLst>
              <a:ext uri="{FF2B5EF4-FFF2-40B4-BE49-F238E27FC236}">
                <a16:creationId xmlns:a16="http://schemas.microsoft.com/office/drawing/2014/main" id="{191E1E64-4AF4-4475-F4C6-65A78E65E565}"/>
              </a:ext>
            </a:extLst>
          </xdr:cNvPr>
          <xdr:cNvGrpSpPr>
            <a:grpSpLocks/>
          </xdr:cNvGrpSpPr>
        </xdr:nvGrpSpPr>
        <xdr:grpSpPr bwMode="auto">
          <a:xfrm>
            <a:off x="81" y="1324"/>
            <a:ext cx="133" cy="199"/>
            <a:chOff x="81" y="1324"/>
            <a:chExt cx="133" cy="199"/>
          </a:xfrm>
        </xdr:grpSpPr>
        <xdr:sp macro="" textlink="">
          <xdr:nvSpPr>
            <xdr:cNvPr id="106" name="Line 675">
              <a:extLst>
                <a:ext uri="{FF2B5EF4-FFF2-40B4-BE49-F238E27FC236}">
                  <a16:creationId xmlns:a16="http://schemas.microsoft.com/office/drawing/2014/main" id="{E3076F77-F5F2-86A1-B705-7B37D8EEFC0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8" y="1462"/>
              <a:ext cx="16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7" name="Line 676">
              <a:extLst>
                <a:ext uri="{FF2B5EF4-FFF2-40B4-BE49-F238E27FC236}">
                  <a16:creationId xmlns:a16="http://schemas.microsoft.com/office/drawing/2014/main" id="{C14359CC-47C7-C2A4-B418-0F750B10DC9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8" y="1463"/>
              <a:ext cx="0" cy="2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8" name="Line 678">
              <a:extLst>
                <a:ext uri="{FF2B5EF4-FFF2-40B4-BE49-F238E27FC236}">
                  <a16:creationId xmlns:a16="http://schemas.microsoft.com/office/drawing/2014/main" id="{86004CCE-CE1A-993B-E3D6-FE1C561B169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53" y="1462"/>
              <a:ext cx="0" cy="2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9" name="Line 693">
              <a:extLst>
                <a:ext uri="{FF2B5EF4-FFF2-40B4-BE49-F238E27FC236}">
                  <a16:creationId xmlns:a16="http://schemas.microsoft.com/office/drawing/2014/main" id="{0D254061-A006-03DC-1D09-C45A6B8D091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36" y="1445"/>
              <a:ext cx="19" cy="13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0" name="Line 701">
              <a:extLst>
                <a:ext uri="{FF2B5EF4-FFF2-40B4-BE49-F238E27FC236}">
                  <a16:creationId xmlns:a16="http://schemas.microsoft.com/office/drawing/2014/main" id="{A70D24C7-BE89-B2A6-9E52-427E627106C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6" y="1425"/>
              <a:ext cx="20" cy="23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1" name="Line 702">
              <a:extLst>
                <a:ext uri="{FF2B5EF4-FFF2-40B4-BE49-F238E27FC236}">
                  <a16:creationId xmlns:a16="http://schemas.microsoft.com/office/drawing/2014/main" id="{BD7F0F6B-9C92-A980-381A-DC468D10872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6" y="1440"/>
              <a:ext cx="20" cy="2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2" name="Line 748">
              <a:extLst>
                <a:ext uri="{FF2B5EF4-FFF2-40B4-BE49-F238E27FC236}">
                  <a16:creationId xmlns:a16="http://schemas.microsoft.com/office/drawing/2014/main" id="{1FBE6515-EC85-F4DD-6457-B8702F60744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8" y="1482"/>
              <a:ext cx="15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3" name="Line 812">
              <a:extLst>
                <a:ext uri="{FF2B5EF4-FFF2-40B4-BE49-F238E27FC236}">
                  <a16:creationId xmlns:a16="http://schemas.microsoft.com/office/drawing/2014/main" id="{AB846E2A-0764-3F44-7D91-1B02F797060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6" y="1416"/>
              <a:ext cx="19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4" name="Line 813">
              <a:extLst>
                <a:ext uri="{FF2B5EF4-FFF2-40B4-BE49-F238E27FC236}">
                  <a16:creationId xmlns:a16="http://schemas.microsoft.com/office/drawing/2014/main" id="{D6624296-955E-B6E9-6D00-55985905072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35" y="1395"/>
              <a:ext cx="21" cy="1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5" name="Line 814">
              <a:extLst>
                <a:ext uri="{FF2B5EF4-FFF2-40B4-BE49-F238E27FC236}">
                  <a16:creationId xmlns:a16="http://schemas.microsoft.com/office/drawing/2014/main" id="{E4E4996D-139C-7957-277D-674B3FD20B01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35" y="1415"/>
              <a:ext cx="21" cy="1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6" name="Line 815">
              <a:extLst>
                <a:ext uri="{FF2B5EF4-FFF2-40B4-BE49-F238E27FC236}">
                  <a16:creationId xmlns:a16="http://schemas.microsoft.com/office/drawing/2014/main" id="{3D2F7F59-04C4-23C2-3DDD-0860E3EABB75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35" y="1425"/>
              <a:ext cx="21" cy="1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grpSp>
          <xdr:nvGrpSpPr>
            <xdr:cNvPr id="117" name="Group 816">
              <a:extLst>
                <a:ext uri="{FF2B5EF4-FFF2-40B4-BE49-F238E27FC236}">
                  <a16:creationId xmlns:a16="http://schemas.microsoft.com/office/drawing/2014/main" id="{15B74479-DA08-DAFC-04E2-76E5EB5F17F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1" y="1324"/>
              <a:ext cx="133" cy="199"/>
              <a:chOff x="81" y="1327"/>
              <a:chExt cx="133" cy="195"/>
            </a:xfrm>
          </xdr:grpSpPr>
          <xdr:sp macro="" textlink="">
            <xdr:nvSpPr>
              <xdr:cNvPr id="128" name="Line 817">
                <a:extLst>
                  <a:ext uri="{FF2B5EF4-FFF2-40B4-BE49-F238E27FC236}">
                    <a16:creationId xmlns:a16="http://schemas.microsoft.com/office/drawing/2014/main" id="{AD74BAB0-74BC-886E-517B-6B853113392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35" y="1327"/>
                <a:ext cx="0" cy="156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29" name="Line 818">
                <a:extLst>
                  <a:ext uri="{FF2B5EF4-FFF2-40B4-BE49-F238E27FC236}">
                    <a16:creationId xmlns:a16="http://schemas.microsoft.com/office/drawing/2014/main" id="{A95261D6-6B61-8E5F-4675-89F28CFE0F5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56" y="1327"/>
                <a:ext cx="0" cy="156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0" name="Line 819">
                <a:extLst>
                  <a:ext uri="{FF2B5EF4-FFF2-40B4-BE49-F238E27FC236}">
                    <a16:creationId xmlns:a16="http://schemas.microsoft.com/office/drawing/2014/main" id="{3095E39C-88AA-464D-5A00-9C2D346EAA7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30" y="1482"/>
                <a:ext cx="31" cy="0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1" name="Line 820">
                <a:extLst>
                  <a:ext uri="{FF2B5EF4-FFF2-40B4-BE49-F238E27FC236}">
                    <a16:creationId xmlns:a16="http://schemas.microsoft.com/office/drawing/2014/main" id="{4C2DBA78-9F86-2F68-B7D7-07CC6EED73F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 flipH="1">
                <a:off x="104" y="1481"/>
                <a:ext cx="26" cy="37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2" name="Line 821">
                <a:extLst>
                  <a:ext uri="{FF2B5EF4-FFF2-40B4-BE49-F238E27FC236}">
                    <a16:creationId xmlns:a16="http://schemas.microsoft.com/office/drawing/2014/main" id="{75B1AF3C-A347-D7A7-D970-BD9F563C0FC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61" y="1482"/>
                <a:ext cx="28" cy="36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3" name="Freeform 822">
                <a:extLst>
                  <a:ext uri="{FF2B5EF4-FFF2-40B4-BE49-F238E27FC236}">
                    <a16:creationId xmlns:a16="http://schemas.microsoft.com/office/drawing/2014/main" id="{2E63D767-93F0-1AFE-B802-DA2AC006C3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1" y="1504"/>
                <a:ext cx="133" cy="18"/>
              </a:xfrm>
              <a:custGeom>
                <a:avLst/>
                <a:gdLst>
                  <a:gd name="T0" fmla="*/ 0 w 133"/>
                  <a:gd name="T1" fmla="*/ 1 h 18"/>
                  <a:gd name="T2" fmla="*/ 3 w 133"/>
                  <a:gd name="T3" fmla="*/ 5 h 18"/>
                  <a:gd name="T4" fmla="*/ 10 w 133"/>
                  <a:gd name="T5" fmla="*/ 11 h 18"/>
                  <a:gd name="T6" fmla="*/ 20 w 133"/>
                  <a:gd name="T7" fmla="*/ 13 h 18"/>
                  <a:gd name="T8" fmla="*/ 30 w 133"/>
                  <a:gd name="T9" fmla="*/ 14 h 18"/>
                  <a:gd name="T10" fmla="*/ 52 w 133"/>
                  <a:gd name="T11" fmla="*/ 12 h 18"/>
                  <a:gd name="T12" fmla="*/ 57 w 133"/>
                  <a:gd name="T13" fmla="*/ 8 h 18"/>
                  <a:gd name="T14" fmla="*/ 73 w 133"/>
                  <a:gd name="T15" fmla="*/ 4 h 18"/>
                  <a:gd name="T16" fmla="*/ 80 w 133"/>
                  <a:gd name="T17" fmla="*/ 2 h 18"/>
                  <a:gd name="T18" fmla="*/ 91 w 133"/>
                  <a:gd name="T19" fmla="*/ 1 h 18"/>
                  <a:gd name="T20" fmla="*/ 103 w 133"/>
                  <a:gd name="T21" fmla="*/ 9 h 18"/>
                  <a:gd name="T22" fmla="*/ 109 w 133"/>
                  <a:gd name="T23" fmla="*/ 15 h 18"/>
                  <a:gd name="T24" fmla="*/ 117 w 133"/>
                  <a:gd name="T25" fmla="*/ 17 h 18"/>
                  <a:gd name="T26" fmla="*/ 129 w 133"/>
                  <a:gd name="T27" fmla="*/ 12 h 18"/>
                  <a:gd name="T28" fmla="*/ 133 w 133"/>
                  <a:gd name="T29" fmla="*/ 10 h 18"/>
                  <a:gd name="T30" fmla="*/ 0 60000 65536"/>
                  <a:gd name="T31" fmla="*/ 0 60000 65536"/>
                  <a:gd name="T32" fmla="*/ 0 60000 65536"/>
                  <a:gd name="T33" fmla="*/ 0 60000 65536"/>
                  <a:gd name="T34" fmla="*/ 0 60000 65536"/>
                  <a:gd name="T35" fmla="*/ 0 60000 65536"/>
                  <a:gd name="T36" fmla="*/ 0 60000 65536"/>
                  <a:gd name="T37" fmla="*/ 0 60000 65536"/>
                  <a:gd name="T38" fmla="*/ 0 60000 65536"/>
                  <a:gd name="T39" fmla="*/ 0 60000 65536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w 133"/>
                  <a:gd name="T46" fmla="*/ 0 h 18"/>
                  <a:gd name="T47" fmla="*/ 133 w 133"/>
                  <a:gd name="T48" fmla="*/ 18 h 18"/>
                </a:gdLst>
                <a:ahLst/>
                <a:cxnLst>
                  <a:cxn ang="T30">
                    <a:pos x="T0" y="T1"/>
                  </a:cxn>
                  <a:cxn ang="T31">
                    <a:pos x="T2" y="T3"/>
                  </a:cxn>
                  <a:cxn ang="T32">
                    <a:pos x="T4" y="T5"/>
                  </a:cxn>
                  <a:cxn ang="T33">
                    <a:pos x="T6" y="T7"/>
                  </a:cxn>
                  <a:cxn ang="T34">
                    <a:pos x="T8" y="T9"/>
                  </a:cxn>
                  <a:cxn ang="T35">
                    <a:pos x="T10" y="T11"/>
                  </a:cxn>
                  <a:cxn ang="T36">
                    <a:pos x="T12" y="T13"/>
                  </a:cxn>
                  <a:cxn ang="T37">
                    <a:pos x="T14" y="T15"/>
                  </a:cxn>
                  <a:cxn ang="T38">
                    <a:pos x="T16" y="T17"/>
                  </a:cxn>
                  <a:cxn ang="T39">
                    <a:pos x="T18" y="T19"/>
                  </a:cxn>
                  <a:cxn ang="T40">
                    <a:pos x="T20" y="T21"/>
                  </a:cxn>
                  <a:cxn ang="T41">
                    <a:pos x="T22" y="T23"/>
                  </a:cxn>
                  <a:cxn ang="T42">
                    <a:pos x="T24" y="T25"/>
                  </a:cxn>
                  <a:cxn ang="T43">
                    <a:pos x="T26" y="T27"/>
                  </a:cxn>
                  <a:cxn ang="T44">
                    <a:pos x="T28" y="T29"/>
                  </a:cxn>
                </a:cxnLst>
                <a:rect l="T45" t="T46" r="T47" b="T48"/>
                <a:pathLst>
                  <a:path w="133" h="18">
                    <a:moveTo>
                      <a:pt x="0" y="1"/>
                    </a:moveTo>
                    <a:cubicBezTo>
                      <a:pt x="0" y="2"/>
                      <a:pt x="1" y="3"/>
                      <a:pt x="3" y="5"/>
                    </a:cubicBezTo>
                    <a:cubicBezTo>
                      <a:pt x="5" y="7"/>
                      <a:pt x="7" y="10"/>
                      <a:pt x="10" y="11"/>
                    </a:cubicBezTo>
                    <a:cubicBezTo>
                      <a:pt x="13" y="12"/>
                      <a:pt x="17" y="12"/>
                      <a:pt x="20" y="13"/>
                    </a:cubicBezTo>
                    <a:cubicBezTo>
                      <a:pt x="23" y="14"/>
                      <a:pt x="25" y="14"/>
                      <a:pt x="30" y="14"/>
                    </a:cubicBezTo>
                    <a:cubicBezTo>
                      <a:pt x="35" y="14"/>
                      <a:pt x="48" y="13"/>
                      <a:pt x="52" y="12"/>
                    </a:cubicBezTo>
                    <a:cubicBezTo>
                      <a:pt x="56" y="11"/>
                      <a:pt x="54" y="9"/>
                      <a:pt x="57" y="8"/>
                    </a:cubicBezTo>
                    <a:cubicBezTo>
                      <a:pt x="60" y="7"/>
                      <a:pt x="69" y="5"/>
                      <a:pt x="73" y="4"/>
                    </a:cubicBezTo>
                    <a:cubicBezTo>
                      <a:pt x="77" y="3"/>
                      <a:pt x="77" y="2"/>
                      <a:pt x="80" y="2"/>
                    </a:cubicBezTo>
                    <a:cubicBezTo>
                      <a:pt x="83" y="2"/>
                      <a:pt x="87" y="0"/>
                      <a:pt x="91" y="1"/>
                    </a:cubicBezTo>
                    <a:cubicBezTo>
                      <a:pt x="95" y="2"/>
                      <a:pt x="100" y="7"/>
                      <a:pt x="103" y="9"/>
                    </a:cubicBezTo>
                    <a:cubicBezTo>
                      <a:pt x="106" y="11"/>
                      <a:pt x="107" y="14"/>
                      <a:pt x="109" y="15"/>
                    </a:cubicBezTo>
                    <a:cubicBezTo>
                      <a:pt x="111" y="16"/>
                      <a:pt x="114" y="18"/>
                      <a:pt x="117" y="17"/>
                    </a:cubicBezTo>
                    <a:cubicBezTo>
                      <a:pt x="120" y="16"/>
                      <a:pt x="126" y="13"/>
                      <a:pt x="129" y="12"/>
                    </a:cubicBezTo>
                    <a:cubicBezTo>
                      <a:pt x="132" y="11"/>
                      <a:pt x="132" y="10"/>
                      <a:pt x="133" y="10"/>
                    </a:cubicBezTo>
                  </a:path>
                </a:pathLst>
              </a:cu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4" name="Freeform 823">
                <a:extLst>
                  <a:ext uri="{FF2B5EF4-FFF2-40B4-BE49-F238E27FC236}">
                    <a16:creationId xmlns:a16="http://schemas.microsoft.com/office/drawing/2014/main" id="{F270B151-D504-4AC4-2309-5460278F4E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7" y="1332"/>
                <a:ext cx="51" cy="7"/>
              </a:xfrm>
              <a:custGeom>
                <a:avLst/>
                <a:gdLst>
                  <a:gd name="T0" fmla="*/ 0 w 51"/>
                  <a:gd name="T1" fmla="*/ 7 h 7"/>
                  <a:gd name="T2" fmla="*/ 8 w 51"/>
                  <a:gd name="T3" fmla="*/ 3 h 7"/>
                  <a:gd name="T4" fmla="*/ 20 w 51"/>
                  <a:gd name="T5" fmla="*/ 3 h 7"/>
                  <a:gd name="T6" fmla="*/ 27 w 51"/>
                  <a:gd name="T7" fmla="*/ 5 h 7"/>
                  <a:gd name="T8" fmla="*/ 32 w 51"/>
                  <a:gd name="T9" fmla="*/ 6 h 7"/>
                  <a:gd name="T10" fmla="*/ 38 w 51"/>
                  <a:gd name="T11" fmla="*/ 5 h 7"/>
                  <a:gd name="T12" fmla="*/ 46 w 51"/>
                  <a:gd name="T13" fmla="*/ 4 h 7"/>
                  <a:gd name="T14" fmla="*/ 51 w 51"/>
                  <a:gd name="T15" fmla="*/ 0 h 7"/>
                  <a:gd name="T16" fmla="*/ 0 60000 65536"/>
                  <a:gd name="T17" fmla="*/ 0 60000 65536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w 51"/>
                  <a:gd name="T25" fmla="*/ 0 h 7"/>
                  <a:gd name="T26" fmla="*/ 51 w 51"/>
                  <a:gd name="T27" fmla="*/ 7 h 7"/>
                </a:gdLst>
                <a:ahLst/>
                <a:cxnLst>
                  <a:cxn ang="T16">
                    <a:pos x="T0" y="T1"/>
                  </a:cxn>
                  <a:cxn ang="T17">
                    <a:pos x="T2" y="T3"/>
                  </a:cxn>
                  <a:cxn ang="T18">
                    <a:pos x="T4" y="T5"/>
                  </a:cxn>
                  <a:cxn ang="T19">
                    <a:pos x="T6" y="T7"/>
                  </a:cxn>
                  <a:cxn ang="T20">
                    <a:pos x="T8" y="T9"/>
                  </a:cxn>
                  <a:cxn ang="T21">
                    <a:pos x="T10" y="T11"/>
                  </a:cxn>
                  <a:cxn ang="T22">
                    <a:pos x="T12" y="T13"/>
                  </a:cxn>
                  <a:cxn ang="T23">
                    <a:pos x="T14" y="T15"/>
                  </a:cxn>
                </a:cxnLst>
                <a:rect l="T24" t="T25" r="T26" b="T27"/>
                <a:pathLst>
                  <a:path w="51" h="7">
                    <a:moveTo>
                      <a:pt x="0" y="7"/>
                    </a:moveTo>
                    <a:cubicBezTo>
                      <a:pt x="2" y="5"/>
                      <a:pt x="5" y="4"/>
                      <a:pt x="8" y="3"/>
                    </a:cubicBezTo>
                    <a:cubicBezTo>
                      <a:pt x="11" y="2"/>
                      <a:pt x="17" y="3"/>
                      <a:pt x="20" y="3"/>
                    </a:cubicBezTo>
                    <a:cubicBezTo>
                      <a:pt x="23" y="3"/>
                      <a:pt x="25" y="4"/>
                      <a:pt x="27" y="5"/>
                    </a:cubicBezTo>
                    <a:cubicBezTo>
                      <a:pt x="29" y="6"/>
                      <a:pt x="30" y="6"/>
                      <a:pt x="32" y="6"/>
                    </a:cubicBezTo>
                    <a:cubicBezTo>
                      <a:pt x="34" y="6"/>
                      <a:pt x="36" y="5"/>
                      <a:pt x="38" y="5"/>
                    </a:cubicBezTo>
                    <a:cubicBezTo>
                      <a:pt x="40" y="5"/>
                      <a:pt x="44" y="5"/>
                      <a:pt x="46" y="4"/>
                    </a:cubicBezTo>
                    <a:cubicBezTo>
                      <a:pt x="48" y="3"/>
                      <a:pt x="50" y="0"/>
                      <a:pt x="51" y="0"/>
                    </a:cubicBezTo>
                  </a:path>
                </a:pathLst>
              </a:cu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5" name="Line 824">
                <a:extLst>
                  <a:ext uri="{FF2B5EF4-FFF2-40B4-BE49-F238E27FC236}">
                    <a16:creationId xmlns:a16="http://schemas.microsoft.com/office/drawing/2014/main" id="{7ABF2759-9BA0-CE82-6B99-A5B5B45B8799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34" y="1456"/>
                <a:ext cx="23" cy="0"/>
              </a:xfrm>
              <a:prstGeom prst="line">
                <a:avLst/>
              </a:prstGeom>
              <a:noFill/>
              <a:ln w="19050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18" name="Line 825">
              <a:extLst>
                <a:ext uri="{FF2B5EF4-FFF2-40B4-BE49-F238E27FC236}">
                  <a16:creationId xmlns:a16="http://schemas.microsoft.com/office/drawing/2014/main" id="{45EEBC06-8231-5DDA-A6EF-E56F19191F5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5" y="1370"/>
              <a:ext cx="22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9" name="Line 826">
              <a:extLst>
                <a:ext uri="{FF2B5EF4-FFF2-40B4-BE49-F238E27FC236}">
                  <a16:creationId xmlns:a16="http://schemas.microsoft.com/office/drawing/2014/main" id="{D02FC02A-2F9E-02E3-47C5-11529383441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36" y="1370"/>
              <a:ext cx="16" cy="9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0" name="Line 827">
              <a:extLst>
                <a:ext uri="{FF2B5EF4-FFF2-40B4-BE49-F238E27FC236}">
                  <a16:creationId xmlns:a16="http://schemas.microsoft.com/office/drawing/2014/main" id="{ED72A938-0391-A19B-7D8D-27387DBB042E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35" y="1375"/>
              <a:ext cx="21" cy="13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1" name="Line 828">
              <a:extLst>
                <a:ext uri="{FF2B5EF4-FFF2-40B4-BE49-F238E27FC236}">
                  <a16:creationId xmlns:a16="http://schemas.microsoft.com/office/drawing/2014/main" id="{F93E9DBD-ED5D-8578-3053-7577090FAB67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35" y="1384"/>
              <a:ext cx="21" cy="1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2" name="Line 829">
              <a:extLst>
                <a:ext uri="{FF2B5EF4-FFF2-40B4-BE49-F238E27FC236}">
                  <a16:creationId xmlns:a16="http://schemas.microsoft.com/office/drawing/2014/main" id="{009C0CD4-A59F-DA6D-7889-CAE2B0AA9CD3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35" y="1405"/>
              <a:ext cx="21" cy="1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3" name="Line 830">
              <a:extLst>
                <a:ext uri="{FF2B5EF4-FFF2-40B4-BE49-F238E27FC236}">
                  <a16:creationId xmlns:a16="http://schemas.microsoft.com/office/drawing/2014/main" id="{DC8B4A70-9024-AFE4-9752-AA4705E677B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5" y="1374"/>
              <a:ext cx="21" cy="12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4" name="Line 831">
              <a:extLst>
                <a:ext uri="{FF2B5EF4-FFF2-40B4-BE49-F238E27FC236}">
                  <a16:creationId xmlns:a16="http://schemas.microsoft.com/office/drawing/2014/main" id="{9A2E2A03-14F5-10EC-D688-9FF1A9D1C3B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4" y="1370"/>
              <a:ext cx="13" cy="8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5" name="Line 832">
              <a:extLst>
                <a:ext uri="{FF2B5EF4-FFF2-40B4-BE49-F238E27FC236}">
                  <a16:creationId xmlns:a16="http://schemas.microsoft.com/office/drawing/2014/main" id="{87D9E057-AC39-F3F8-6193-6CFBDBB555F9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5" y="1383"/>
              <a:ext cx="21" cy="1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6" name="Line 833">
              <a:extLst>
                <a:ext uri="{FF2B5EF4-FFF2-40B4-BE49-F238E27FC236}">
                  <a16:creationId xmlns:a16="http://schemas.microsoft.com/office/drawing/2014/main" id="{1181D94B-0727-7B36-A54E-32B163EE89B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5" y="1394"/>
              <a:ext cx="22" cy="1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7" name="Line 834">
              <a:extLst>
                <a:ext uri="{FF2B5EF4-FFF2-40B4-BE49-F238E27FC236}">
                  <a16:creationId xmlns:a16="http://schemas.microsoft.com/office/drawing/2014/main" id="{AF40D849-E964-19AE-5121-B90D5699422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5" y="1404"/>
              <a:ext cx="21" cy="16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 editAs="oneCell">
    <xdr:from>
      <xdr:col>6</xdr:col>
      <xdr:colOff>202407</xdr:colOff>
      <xdr:row>739</xdr:row>
      <xdr:rowOff>107156</xdr:rowOff>
    </xdr:from>
    <xdr:to>
      <xdr:col>10</xdr:col>
      <xdr:colOff>58474</xdr:colOff>
      <xdr:row>744</xdr:row>
      <xdr:rowOff>135732</xdr:rowOff>
    </xdr:to>
    <xdr:pic>
      <xdr:nvPicPr>
        <xdr:cNvPr id="160" name="Picture 55">
          <a:extLst>
            <a:ext uri="{FF2B5EF4-FFF2-40B4-BE49-F238E27FC236}">
              <a16:creationId xmlns:a16="http://schemas.microsoft.com/office/drawing/2014/main" id="{460957D8-54ED-4DB9-A0CC-4060C5D72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 l="36245" t="2202" r="14039" b="28707"/>
        <a:stretch>
          <a:fillRect/>
        </a:stretch>
      </xdr:blipFill>
      <xdr:spPr bwMode="auto">
        <a:xfrm>
          <a:off x="3036095" y="138481594"/>
          <a:ext cx="1380067" cy="981076"/>
        </a:xfrm>
        <a:prstGeom prst="rect">
          <a:avLst/>
        </a:prstGeom>
        <a:noFill/>
      </xdr:spPr>
    </xdr:pic>
    <xdr:clientData/>
  </xdr:twoCellAnchor>
  <xdr:twoCellAnchor>
    <xdr:from>
      <xdr:col>7</xdr:col>
      <xdr:colOff>261938</xdr:colOff>
      <xdr:row>789</xdr:row>
      <xdr:rowOff>154781</xdr:rowOff>
    </xdr:from>
    <xdr:to>
      <xdr:col>9</xdr:col>
      <xdr:colOff>302814</xdr:colOff>
      <xdr:row>794</xdr:row>
      <xdr:rowOff>174889</xdr:rowOff>
    </xdr:to>
    <xdr:grpSp>
      <xdr:nvGrpSpPr>
        <xdr:cNvPr id="180" name="Group 724">
          <a:extLst>
            <a:ext uri="{FF2B5EF4-FFF2-40B4-BE49-F238E27FC236}">
              <a16:creationId xmlns:a16="http://schemas.microsoft.com/office/drawing/2014/main" id="{365FBB2D-DC30-4428-B092-1CB00C63CF4A}"/>
            </a:ext>
          </a:extLst>
        </xdr:cNvPr>
        <xdr:cNvGrpSpPr>
          <a:grpSpLocks/>
        </xdr:cNvGrpSpPr>
      </xdr:nvGrpSpPr>
      <xdr:grpSpPr bwMode="auto">
        <a:xfrm>
          <a:off x="3476626" y="151173656"/>
          <a:ext cx="802876" cy="972608"/>
          <a:chOff x="121" y="2910"/>
          <a:chExt cx="99" cy="88"/>
        </a:xfrm>
      </xdr:grpSpPr>
      <xdr:sp macro="" textlink="">
        <xdr:nvSpPr>
          <xdr:cNvPr id="181" name="Rectangle 725">
            <a:extLst>
              <a:ext uri="{FF2B5EF4-FFF2-40B4-BE49-F238E27FC236}">
                <a16:creationId xmlns:a16="http://schemas.microsoft.com/office/drawing/2014/main" id="{38CE41A6-2C7B-B8C4-71F4-6C8F4BCD43A3}"/>
              </a:ext>
            </a:extLst>
          </xdr:cNvPr>
          <xdr:cNvSpPr>
            <a:spLocks noChangeArrowheads="1"/>
          </xdr:cNvSpPr>
        </xdr:nvSpPr>
        <xdr:spPr bwMode="auto">
          <a:xfrm>
            <a:off x="130" y="2916"/>
            <a:ext cx="66" cy="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2" name="Rectangle 726">
            <a:extLst>
              <a:ext uri="{FF2B5EF4-FFF2-40B4-BE49-F238E27FC236}">
                <a16:creationId xmlns:a16="http://schemas.microsoft.com/office/drawing/2014/main" id="{EBB6BA43-7A72-84C0-5681-04C96EB25DF1}"/>
              </a:ext>
            </a:extLst>
          </xdr:cNvPr>
          <xdr:cNvSpPr>
            <a:spLocks noChangeArrowheads="1"/>
          </xdr:cNvSpPr>
        </xdr:nvSpPr>
        <xdr:spPr bwMode="auto">
          <a:xfrm>
            <a:off x="135" y="2921"/>
            <a:ext cx="56" cy="44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83" name="AutoShape 731">
            <a:extLst>
              <a:ext uri="{FF2B5EF4-FFF2-40B4-BE49-F238E27FC236}">
                <a16:creationId xmlns:a16="http://schemas.microsoft.com/office/drawing/2014/main" id="{F0592732-2E01-968E-904C-10E944E93746}"/>
              </a:ext>
            </a:extLst>
          </xdr:cNvPr>
          <xdr:cNvSpPr>
            <a:spLocks noChangeArrowheads="1"/>
          </xdr:cNvSpPr>
        </xdr:nvSpPr>
        <xdr:spPr bwMode="auto">
          <a:xfrm>
            <a:off x="183" y="2958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4" name="AutoShape 732">
            <a:extLst>
              <a:ext uri="{FF2B5EF4-FFF2-40B4-BE49-F238E27FC236}">
                <a16:creationId xmlns:a16="http://schemas.microsoft.com/office/drawing/2014/main" id="{D7EDF03F-17CE-B901-6F86-C7A1B4837C3D}"/>
              </a:ext>
            </a:extLst>
          </xdr:cNvPr>
          <xdr:cNvSpPr>
            <a:spLocks noChangeArrowheads="1"/>
          </xdr:cNvSpPr>
        </xdr:nvSpPr>
        <xdr:spPr bwMode="auto">
          <a:xfrm>
            <a:off x="135" y="2957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5" name="AutoShape 733">
            <a:extLst>
              <a:ext uri="{FF2B5EF4-FFF2-40B4-BE49-F238E27FC236}">
                <a16:creationId xmlns:a16="http://schemas.microsoft.com/office/drawing/2014/main" id="{9F8F4932-8A3F-524A-5B12-C789E0D870CC}"/>
              </a:ext>
            </a:extLst>
          </xdr:cNvPr>
          <xdr:cNvSpPr>
            <a:spLocks noChangeArrowheads="1"/>
          </xdr:cNvSpPr>
        </xdr:nvSpPr>
        <xdr:spPr bwMode="auto">
          <a:xfrm>
            <a:off x="134" y="2920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6" name="AutoShape 736">
            <a:extLst>
              <a:ext uri="{FF2B5EF4-FFF2-40B4-BE49-F238E27FC236}">
                <a16:creationId xmlns:a16="http://schemas.microsoft.com/office/drawing/2014/main" id="{65119C2D-35DC-04B8-B71C-87A22EE48F5B}"/>
              </a:ext>
            </a:extLst>
          </xdr:cNvPr>
          <xdr:cNvSpPr>
            <a:spLocks noChangeArrowheads="1"/>
          </xdr:cNvSpPr>
        </xdr:nvSpPr>
        <xdr:spPr bwMode="auto">
          <a:xfrm>
            <a:off x="183" y="2921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7" name="Line 737">
            <a:extLst>
              <a:ext uri="{FF2B5EF4-FFF2-40B4-BE49-F238E27FC236}">
                <a16:creationId xmlns:a16="http://schemas.microsoft.com/office/drawing/2014/main" id="{4EED45A5-F9DA-C4C5-44CF-97E60329201A}"/>
              </a:ext>
            </a:extLst>
          </xdr:cNvPr>
          <xdr:cNvSpPr>
            <a:spLocks noChangeShapeType="1"/>
          </xdr:cNvSpPr>
        </xdr:nvSpPr>
        <xdr:spPr bwMode="auto">
          <a:xfrm>
            <a:off x="142" y="2922"/>
            <a:ext cx="4" cy="5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8" name="Line 738">
            <a:extLst>
              <a:ext uri="{FF2B5EF4-FFF2-40B4-BE49-F238E27FC236}">
                <a16:creationId xmlns:a16="http://schemas.microsoft.com/office/drawing/2014/main" id="{B96BA800-B007-6584-8956-B625117B9373}"/>
              </a:ext>
            </a:extLst>
          </xdr:cNvPr>
          <xdr:cNvSpPr>
            <a:spLocks noChangeShapeType="1"/>
          </xdr:cNvSpPr>
        </xdr:nvSpPr>
        <xdr:spPr bwMode="auto">
          <a:xfrm>
            <a:off x="136" y="2927"/>
            <a:ext cx="5" cy="4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9" name="Line 741">
            <a:extLst>
              <a:ext uri="{FF2B5EF4-FFF2-40B4-BE49-F238E27FC236}">
                <a16:creationId xmlns:a16="http://schemas.microsoft.com/office/drawing/2014/main" id="{53ABE83C-5068-45AD-BD8B-9E6B448D2773}"/>
              </a:ext>
            </a:extLst>
          </xdr:cNvPr>
          <xdr:cNvSpPr>
            <a:spLocks noChangeShapeType="1"/>
          </xdr:cNvSpPr>
        </xdr:nvSpPr>
        <xdr:spPr bwMode="auto">
          <a:xfrm>
            <a:off x="205" y="2910"/>
            <a:ext cx="0" cy="7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0" name="Line 743">
            <a:extLst>
              <a:ext uri="{FF2B5EF4-FFF2-40B4-BE49-F238E27FC236}">
                <a16:creationId xmlns:a16="http://schemas.microsoft.com/office/drawing/2014/main" id="{75E68658-DFFF-8B74-7761-FE5D55AA7A85}"/>
              </a:ext>
            </a:extLst>
          </xdr:cNvPr>
          <xdr:cNvSpPr>
            <a:spLocks noChangeShapeType="1"/>
          </xdr:cNvSpPr>
        </xdr:nvSpPr>
        <xdr:spPr bwMode="auto">
          <a:xfrm>
            <a:off x="121" y="2988"/>
            <a:ext cx="8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1" name="Line 745">
            <a:extLst>
              <a:ext uri="{FF2B5EF4-FFF2-40B4-BE49-F238E27FC236}">
                <a16:creationId xmlns:a16="http://schemas.microsoft.com/office/drawing/2014/main" id="{80877192-B6A0-A6F6-25AF-368D909FEE63}"/>
              </a:ext>
            </a:extLst>
          </xdr:cNvPr>
          <xdr:cNvSpPr>
            <a:spLocks noChangeShapeType="1"/>
          </xdr:cNvSpPr>
        </xdr:nvSpPr>
        <xdr:spPr bwMode="auto">
          <a:xfrm>
            <a:off x="200" y="2916"/>
            <a:ext cx="2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2" name="Line 746">
            <a:extLst>
              <a:ext uri="{FF2B5EF4-FFF2-40B4-BE49-F238E27FC236}">
                <a16:creationId xmlns:a16="http://schemas.microsoft.com/office/drawing/2014/main" id="{36130311-14A1-E81F-0C9E-05F1BC4B2862}"/>
              </a:ext>
            </a:extLst>
          </xdr:cNvPr>
          <xdr:cNvSpPr>
            <a:spLocks noChangeShapeType="1"/>
          </xdr:cNvSpPr>
        </xdr:nvSpPr>
        <xdr:spPr bwMode="auto">
          <a:xfrm>
            <a:off x="199" y="2969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3" name="Line 751">
            <a:extLst>
              <a:ext uri="{FF2B5EF4-FFF2-40B4-BE49-F238E27FC236}">
                <a16:creationId xmlns:a16="http://schemas.microsoft.com/office/drawing/2014/main" id="{EBD6F9C8-E768-4FC0-8F03-69EEFC89B4E8}"/>
              </a:ext>
            </a:extLst>
          </xdr:cNvPr>
          <xdr:cNvSpPr>
            <a:spLocks noChangeShapeType="1"/>
          </xdr:cNvSpPr>
        </xdr:nvSpPr>
        <xdr:spPr bwMode="auto">
          <a:xfrm flipH="1">
            <a:off x="201" y="2913"/>
            <a:ext cx="8" cy="5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4" name="Line 752">
            <a:extLst>
              <a:ext uri="{FF2B5EF4-FFF2-40B4-BE49-F238E27FC236}">
                <a16:creationId xmlns:a16="http://schemas.microsoft.com/office/drawing/2014/main" id="{B06F2A67-65ED-998B-C9FE-B6C5E89013EE}"/>
              </a:ext>
            </a:extLst>
          </xdr:cNvPr>
          <xdr:cNvSpPr>
            <a:spLocks noChangeShapeType="1"/>
          </xdr:cNvSpPr>
        </xdr:nvSpPr>
        <xdr:spPr bwMode="auto">
          <a:xfrm flipH="1">
            <a:off x="202" y="296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5" name="Line 753">
            <a:extLst>
              <a:ext uri="{FF2B5EF4-FFF2-40B4-BE49-F238E27FC236}">
                <a16:creationId xmlns:a16="http://schemas.microsoft.com/office/drawing/2014/main" id="{69FA6832-379B-44E5-BC8A-FBA18A658B8F}"/>
              </a:ext>
            </a:extLst>
          </xdr:cNvPr>
          <xdr:cNvSpPr>
            <a:spLocks noChangeShapeType="1"/>
          </xdr:cNvSpPr>
        </xdr:nvSpPr>
        <xdr:spPr bwMode="auto">
          <a:xfrm>
            <a:off x="130" y="2980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6" name="Line 754">
            <a:extLst>
              <a:ext uri="{FF2B5EF4-FFF2-40B4-BE49-F238E27FC236}">
                <a16:creationId xmlns:a16="http://schemas.microsoft.com/office/drawing/2014/main" id="{DE840044-3748-6D45-DFD4-C01DCF0F7E08}"/>
              </a:ext>
            </a:extLst>
          </xdr:cNvPr>
          <xdr:cNvSpPr>
            <a:spLocks noChangeShapeType="1"/>
          </xdr:cNvSpPr>
        </xdr:nvSpPr>
        <xdr:spPr bwMode="auto">
          <a:xfrm>
            <a:off x="196" y="2980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7" name="Line 755">
            <a:extLst>
              <a:ext uri="{FF2B5EF4-FFF2-40B4-BE49-F238E27FC236}">
                <a16:creationId xmlns:a16="http://schemas.microsoft.com/office/drawing/2014/main" id="{B43E6E23-66FA-93AF-1994-41112BD24B50}"/>
              </a:ext>
            </a:extLst>
          </xdr:cNvPr>
          <xdr:cNvSpPr>
            <a:spLocks noChangeShapeType="1"/>
          </xdr:cNvSpPr>
        </xdr:nvSpPr>
        <xdr:spPr bwMode="auto">
          <a:xfrm flipH="1">
            <a:off x="126" y="298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8" name="Line 756">
            <a:extLst>
              <a:ext uri="{FF2B5EF4-FFF2-40B4-BE49-F238E27FC236}">
                <a16:creationId xmlns:a16="http://schemas.microsoft.com/office/drawing/2014/main" id="{D2B69111-6F07-163D-9341-B34D94F27EA0}"/>
              </a:ext>
            </a:extLst>
          </xdr:cNvPr>
          <xdr:cNvSpPr>
            <a:spLocks noChangeShapeType="1"/>
          </xdr:cNvSpPr>
        </xdr:nvSpPr>
        <xdr:spPr bwMode="auto">
          <a:xfrm flipH="1">
            <a:off x="191" y="298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369094</xdr:colOff>
      <xdr:row>779</xdr:row>
      <xdr:rowOff>95250</xdr:rowOff>
    </xdr:from>
    <xdr:to>
      <xdr:col>10</xdr:col>
      <xdr:colOff>28970</xdr:colOff>
      <xdr:row>785</xdr:row>
      <xdr:rowOff>115357</xdr:rowOff>
    </xdr:to>
    <xdr:grpSp>
      <xdr:nvGrpSpPr>
        <xdr:cNvPr id="199" name="Group 724">
          <a:extLst>
            <a:ext uri="{FF2B5EF4-FFF2-40B4-BE49-F238E27FC236}">
              <a16:creationId xmlns:a16="http://schemas.microsoft.com/office/drawing/2014/main" id="{5A7F1A19-2574-46D9-AE9C-4BA232A6ACAE}"/>
            </a:ext>
          </a:extLst>
        </xdr:cNvPr>
        <xdr:cNvGrpSpPr>
          <a:grpSpLocks/>
        </xdr:cNvGrpSpPr>
      </xdr:nvGrpSpPr>
      <xdr:grpSpPr bwMode="auto">
        <a:xfrm>
          <a:off x="3583782" y="149209125"/>
          <a:ext cx="802876" cy="1163107"/>
          <a:chOff x="121" y="2910"/>
          <a:chExt cx="99" cy="88"/>
        </a:xfrm>
      </xdr:grpSpPr>
      <xdr:sp macro="" textlink="">
        <xdr:nvSpPr>
          <xdr:cNvPr id="200" name="Rectangle 725">
            <a:extLst>
              <a:ext uri="{FF2B5EF4-FFF2-40B4-BE49-F238E27FC236}">
                <a16:creationId xmlns:a16="http://schemas.microsoft.com/office/drawing/2014/main" id="{4771A8F6-B85E-B14D-E5A5-BD7C27582C00}"/>
              </a:ext>
            </a:extLst>
          </xdr:cNvPr>
          <xdr:cNvSpPr>
            <a:spLocks noChangeArrowheads="1"/>
          </xdr:cNvSpPr>
        </xdr:nvSpPr>
        <xdr:spPr bwMode="auto">
          <a:xfrm>
            <a:off x="130" y="2916"/>
            <a:ext cx="66" cy="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1" name="Rectangle 726">
            <a:extLst>
              <a:ext uri="{FF2B5EF4-FFF2-40B4-BE49-F238E27FC236}">
                <a16:creationId xmlns:a16="http://schemas.microsoft.com/office/drawing/2014/main" id="{E887AB13-0483-274C-1C7D-C03DC43FEA50}"/>
              </a:ext>
            </a:extLst>
          </xdr:cNvPr>
          <xdr:cNvSpPr>
            <a:spLocks noChangeArrowheads="1"/>
          </xdr:cNvSpPr>
        </xdr:nvSpPr>
        <xdr:spPr bwMode="auto">
          <a:xfrm>
            <a:off x="135" y="2921"/>
            <a:ext cx="56" cy="44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02" name="AutoShape 731">
            <a:extLst>
              <a:ext uri="{FF2B5EF4-FFF2-40B4-BE49-F238E27FC236}">
                <a16:creationId xmlns:a16="http://schemas.microsoft.com/office/drawing/2014/main" id="{EEFDBDA7-E3D6-6EF8-F2BB-80856216F079}"/>
              </a:ext>
            </a:extLst>
          </xdr:cNvPr>
          <xdr:cNvSpPr>
            <a:spLocks noChangeArrowheads="1"/>
          </xdr:cNvSpPr>
        </xdr:nvSpPr>
        <xdr:spPr bwMode="auto">
          <a:xfrm>
            <a:off x="183" y="2958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3" name="AutoShape 732">
            <a:extLst>
              <a:ext uri="{FF2B5EF4-FFF2-40B4-BE49-F238E27FC236}">
                <a16:creationId xmlns:a16="http://schemas.microsoft.com/office/drawing/2014/main" id="{02935E3A-8326-0F58-35DB-300E5D06150E}"/>
              </a:ext>
            </a:extLst>
          </xdr:cNvPr>
          <xdr:cNvSpPr>
            <a:spLocks noChangeArrowheads="1"/>
          </xdr:cNvSpPr>
        </xdr:nvSpPr>
        <xdr:spPr bwMode="auto">
          <a:xfrm>
            <a:off x="135" y="2957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4" name="AutoShape 733">
            <a:extLst>
              <a:ext uri="{FF2B5EF4-FFF2-40B4-BE49-F238E27FC236}">
                <a16:creationId xmlns:a16="http://schemas.microsoft.com/office/drawing/2014/main" id="{5F0BF864-3479-822E-DFD6-5104328F5D17}"/>
              </a:ext>
            </a:extLst>
          </xdr:cNvPr>
          <xdr:cNvSpPr>
            <a:spLocks noChangeArrowheads="1"/>
          </xdr:cNvSpPr>
        </xdr:nvSpPr>
        <xdr:spPr bwMode="auto">
          <a:xfrm>
            <a:off x="134" y="2920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5" name="AutoShape 736">
            <a:extLst>
              <a:ext uri="{FF2B5EF4-FFF2-40B4-BE49-F238E27FC236}">
                <a16:creationId xmlns:a16="http://schemas.microsoft.com/office/drawing/2014/main" id="{FCFA8F6D-877B-A941-BF84-EFFBD8E19CA1}"/>
              </a:ext>
            </a:extLst>
          </xdr:cNvPr>
          <xdr:cNvSpPr>
            <a:spLocks noChangeArrowheads="1"/>
          </xdr:cNvSpPr>
        </xdr:nvSpPr>
        <xdr:spPr bwMode="auto">
          <a:xfrm>
            <a:off x="183" y="2921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" name="Line 737">
            <a:extLst>
              <a:ext uri="{FF2B5EF4-FFF2-40B4-BE49-F238E27FC236}">
                <a16:creationId xmlns:a16="http://schemas.microsoft.com/office/drawing/2014/main" id="{14F1DFDC-DF5A-2693-861C-0DF5CE80E8A8}"/>
              </a:ext>
            </a:extLst>
          </xdr:cNvPr>
          <xdr:cNvSpPr>
            <a:spLocks noChangeShapeType="1"/>
          </xdr:cNvSpPr>
        </xdr:nvSpPr>
        <xdr:spPr bwMode="auto">
          <a:xfrm>
            <a:off x="142" y="2922"/>
            <a:ext cx="4" cy="5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7" name="Line 738">
            <a:extLst>
              <a:ext uri="{FF2B5EF4-FFF2-40B4-BE49-F238E27FC236}">
                <a16:creationId xmlns:a16="http://schemas.microsoft.com/office/drawing/2014/main" id="{4416A912-9B2E-9C94-F10A-97460702EE7B}"/>
              </a:ext>
            </a:extLst>
          </xdr:cNvPr>
          <xdr:cNvSpPr>
            <a:spLocks noChangeShapeType="1"/>
          </xdr:cNvSpPr>
        </xdr:nvSpPr>
        <xdr:spPr bwMode="auto">
          <a:xfrm>
            <a:off x="136" y="2927"/>
            <a:ext cx="5" cy="4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8" name="Line 741">
            <a:extLst>
              <a:ext uri="{FF2B5EF4-FFF2-40B4-BE49-F238E27FC236}">
                <a16:creationId xmlns:a16="http://schemas.microsoft.com/office/drawing/2014/main" id="{F3D8F5CC-4D81-D219-B7A7-60455A8FA1C7}"/>
              </a:ext>
            </a:extLst>
          </xdr:cNvPr>
          <xdr:cNvSpPr>
            <a:spLocks noChangeShapeType="1"/>
          </xdr:cNvSpPr>
        </xdr:nvSpPr>
        <xdr:spPr bwMode="auto">
          <a:xfrm>
            <a:off x="205" y="2910"/>
            <a:ext cx="0" cy="7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" name="Line 743">
            <a:extLst>
              <a:ext uri="{FF2B5EF4-FFF2-40B4-BE49-F238E27FC236}">
                <a16:creationId xmlns:a16="http://schemas.microsoft.com/office/drawing/2014/main" id="{71D51F9C-9142-AAFA-B194-AC2323BEE644}"/>
              </a:ext>
            </a:extLst>
          </xdr:cNvPr>
          <xdr:cNvSpPr>
            <a:spLocks noChangeShapeType="1"/>
          </xdr:cNvSpPr>
        </xdr:nvSpPr>
        <xdr:spPr bwMode="auto">
          <a:xfrm>
            <a:off x="121" y="2988"/>
            <a:ext cx="8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0" name="Line 745">
            <a:extLst>
              <a:ext uri="{FF2B5EF4-FFF2-40B4-BE49-F238E27FC236}">
                <a16:creationId xmlns:a16="http://schemas.microsoft.com/office/drawing/2014/main" id="{F878AE95-4F2D-D6BE-29B7-3CBA53CC1A00}"/>
              </a:ext>
            </a:extLst>
          </xdr:cNvPr>
          <xdr:cNvSpPr>
            <a:spLocks noChangeShapeType="1"/>
          </xdr:cNvSpPr>
        </xdr:nvSpPr>
        <xdr:spPr bwMode="auto">
          <a:xfrm>
            <a:off x="200" y="2916"/>
            <a:ext cx="2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1" name="Line 746">
            <a:extLst>
              <a:ext uri="{FF2B5EF4-FFF2-40B4-BE49-F238E27FC236}">
                <a16:creationId xmlns:a16="http://schemas.microsoft.com/office/drawing/2014/main" id="{39A3E1F3-F134-191F-8314-6189FE2D5ED0}"/>
              </a:ext>
            </a:extLst>
          </xdr:cNvPr>
          <xdr:cNvSpPr>
            <a:spLocks noChangeShapeType="1"/>
          </xdr:cNvSpPr>
        </xdr:nvSpPr>
        <xdr:spPr bwMode="auto">
          <a:xfrm>
            <a:off x="199" y="2969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2" name="Line 751">
            <a:extLst>
              <a:ext uri="{FF2B5EF4-FFF2-40B4-BE49-F238E27FC236}">
                <a16:creationId xmlns:a16="http://schemas.microsoft.com/office/drawing/2014/main" id="{877F0467-DACB-EF1F-2CD5-9585819C3C0C}"/>
              </a:ext>
            </a:extLst>
          </xdr:cNvPr>
          <xdr:cNvSpPr>
            <a:spLocks noChangeShapeType="1"/>
          </xdr:cNvSpPr>
        </xdr:nvSpPr>
        <xdr:spPr bwMode="auto">
          <a:xfrm flipH="1">
            <a:off x="201" y="2913"/>
            <a:ext cx="8" cy="5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3" name="Line 752">
            <a:extLst>
              <a:ext uri="{FF2B5EF4-FFF2-40B4-BE49-F238E27FC236}">
                <a16:creationId xmlns:a16="http://schemas.microsoft.com/office/drawing/2014/main" id="{B996D69A-AE74-547F-2BBE-F058A60F2439}"/>
              </a:ext>
            </a:extLst>
          </xdr:cNvPr>
          <xdr:cNvSpPr>
            <a:spLocks noChangeShapeType="1"/>
          </xdr:cNvSpPr>
        </xdr:nvSpPr>
        <xdr:spPr bwMode="auto">
          <a:xfrm flipH="1">
            <a:off x="202" y="296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4" name="Line 753">
            <a:extLst>
              <a:ext uri="{FF2B5EF4-FFF2-40B4-BE49-F238E27FC236}">
                <a16:creationId xmlns:a16="http://schemas.microsoft.com/office/drawing/2014/main" id="{4E83B623-7F71-2AA6-6222-CB6BB4E95F80}"/>
              </a:ext>
            </a:extLst>
          </xdr:cNvPr>
          <xdr:cNvSpPr>
            <a:spLocks noChangeShapeType="1"/>
          </xdr:cNvSpPr>
        </xdr:nvSpPr>
        <xdr:spPr bwMode="auto">
          <a:xfrm>
            <a:off x="130" y="2980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" name="Line 754">
            <a:extLst>
              <a:ext uri="{FF2B5EF4-FFF2-40B4-BE49-F238E27FC236}">
                <a16:creationId xmlns:a16="http://schemas.microsoft.com/office/drawing/2014/main" id="{7FEF5DA7-01AA-C839-9883-5D88A4186A19}"/>
              </a:ext>
            </a:extLst>
          </xdr:cNvPr>
          <xdr:cNvSpPr>
            <a:spLocks noChangeShapeType="1"/>
          </xdr:cNvSpPr>
        </xdr:nvSpPr>
        <xdr:spPr bwMode="auto">
          <a:xfrm>
            <a:off x="196" y="2980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6" name="Line 755">
            <a:extLst>
              <a:ext uri="{FF2B5EF4-FFF2-40B4-BE49-F238E27FC236}">
                <a16:creationId xmlns:a16="http://schemas.microsoft.com/office/drawing/2014/main" id="{801F6197-D020-A289-E4E9-51AAA0CE1896}"/>
              </a:ext>
            </a:extLst>
          </xdr:cNvPr>
          <xdr:cNvSpPr>
            <a:spLocks noChangeShapeType="1"/>
          </xdr:cNvSpPr>
        </xdr:nvSpPr>
        <xdr:spPr bwMode="auto">
          <a:xfrm flipH="1">
            <a:off x="126" y="298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7" name="Line 756">
            <a:extLst>
              <a:ext uri="{FF2B5EF4-FFF2-40B4-BE49-F238E27FC236}">
                <a16:creationId xmlns:a16="http://schemas.microsoft.com/office/drawing/2014/main" id="{1C22F75D-FBD4-D0D4-5ED6-8ACCF5CEF965}"/>
              </a:ext>
            </a:extLst>
          </xdr:cNvPr>
          <xdr:cNvSpPr>
            <a:spLocks noChangeShapeType="1"/>
          </xdr:cNvSpPr>
        </xdr:nvSpPr>
        <xdr:spPr bwMode="auto">
          <a:xfrm flipH="1">
            <a:off x="191" y="298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214313</xdr:colOff>
      <xdr:row>796</xdr:row>
      <xdr:rowOff>83343</xdr:rowOff>
    </xdr:from>
    <xdr:to>
      <xdr:col>10</xdr:col>
      <xdr:colOff>130969</xdr:colOff>
      <xdr:row>802</xdr:row>
      <xdr:rowOff>103451</xdr:rowOff>
    </xdr:to>
    <xdr:grpSp>
      <xdr:nvGrpSpPr>
        <xdr:cNvPr id="218" name="Group 724">
          <a:extLst>
            <a:ext uri="{FF2B5EF4-FFF2-40B4-BE49-F238E27FC236}">
              <a16:creationId xmlns:a16="http://schemas.microsoft.com/office/drawing/2014/main" id="{1D79596D-F5FA-47C5-B20C-98B28BC040C5}"/>
            </a:ext>
          </a:extLst>
        </xdr:cNvPr>
        <xdr:cNvGrpSpPr>
          <a:grpSpLocks/>
        </xdr:cNvGrpSpPr>
      </xdr:nvGrpSpPr>
      <xdr:grpSpPr bwMode="auto">
        <a:xfrm>
          <a:off x="3429001" y="152435718"/>
          <a:ext cx="1059656" cy="1163108"/>
          <a:chOff x="121" y="2910"/>
          <a:chExt cx="99" cy="88"/>
        </a:xfrm>
      </xdr:grpSpPr>
      <xdr:sp macro="" textlink="">
        <xdr:nvSpPr>
          <xdr:cNvPr id="219" name="Rectangle 725">
            <a:extLst>
              <a:ext uri="{FF2B5EF4-FFF2-40B4-BE49-F238E27FC236}">
                <a16:creationId xmlns:a16="http://schemas.microsoft.com/office/drawing/2014/main" id="{41E744C6-C0B8-FE80-B4AA-EFB4EF92ED72}"/>
              </a:ext>
            </a:extLst>
          </xdr:cNvPr>
          <xdr:cNvSpPr>
            <a:spLocks noChangeArrowheads="1"/>
          </xdr:cNvSpPr>
        </xdr:nvSpPr>
        <xdr:spPr bwMode="auto">
          <a:xfrm>
            <a:off x="130" y="2916"/>
            <a:ext cx="66" cy="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0" name="Rectangle 726">
            <a:extLst>
              <a:ext uri="{FF2B5EF4-FFF2-40B4-BE49-F238E27FC236}">
                <a16:creationId xmlns:a16="http://schemas.microsoft.com/office/drawing/2014/main" id="{97471A5C-3658-B66A-3D66-8F6BC6959BCD}"/>
              </a:ext>
            </a:extLst>
          </xdr:cNvPr>
          <xdr:cNvSpPr>
            <a:spLocks noChangeArrowheads="1"/>
          </xdr:cNvSpPr>
        </xdr:nvSpPr>
        <xdr:spPr bwMode="auto">
          <a:xfrm>
            <a:off x="135" y="2921"/>
            <a:ext cx="56" cy="44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21" name="AutoShape 731">
            <a:extLst>
              <a:ext uri="{FF2B5EF4-FFF2-40B4-BE49-F238E27FC236}">
                <a16:creationId xmlns:a16="http://schemas.microsoft.com/office/drawing/2014/main" id="{27F9E330-8D0F-41FD-5F0D-EF9807FD5B01}"/>
              </a:ext>
            </a:extLst>
          </xdr:cNvPr>
          <xdr:cNvSpPr>
            <a:spLocks noChangeArrowheads="1"/>
          </xdr:cNvSpPr>
        </xdr:nvSpPr>
        <xdr:spPr bwMode="auto">
          <a:xfrm>
            <a:off x="183" y="2958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2" name="AutoShape 732">
            <a:extLst>
              <a:ext uri="{FF2B5EF4-FFF2-40B4-BE49-F238E27FC236}">
                <a16:creationId xmlns:a16="http://schemas.microsoft.com/office/drawing/2014/main" id="{04968104-C91B-D8D6-AFF9-ECC854DCE392}"/>
              </a:ext>
            </a:extLst>
          </xdr:cNvPr>
          <xdr:cNvSpPr>
            <a:spLocks noChangeArrowheads="1"/>
          </xdr:cNvSpPr>
        </xdr:nvSpPr>
        <xdr:spPr bwMode="auto">
          <a:xfrm>
            <a:off x="135" y="2957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3" name="AutoShape 733">
            <a:extLst>
              <a:ext uri="{FF2B5EF4-FFF2-40B4-BE49-F238E27FC236}">
                <a16:creationId xmlns:a16="http://schemas.microsoft.com/office/drawing/2014/main" id="{4C632216-D498-60C5-A63D-0453810EE473}"/>
              </a:ext>
            </a:extLst>
          </xdr:cNvPr>
          <xdr:cNvSpPr>
            <a:spLocks noChangeArrowheads="1"/>
          </xdr:cNvSpPr>
        </xdr:nvSpPr>
        <xdr:spPr bwMode="auto">
          <a:xfrm>
            <a:off x="134" y="2920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4" name="AutoShape 736">
            <a:extLst>
              <a:ext uri="{FF2B5EF4-FFF2-40B4-BE49-F238E27FC236}">
                <a16:creationId xmlns:a16="http://schemas.microsoft.com/office/drawing/2014/main" id="{11AA1789-AA54-16A6-72FE-956C276AC65B}"/>
              </a:ext>
            </a:extLst>
          </xdr:cNvPr>
          <xdr:cNvSpPr>
            <a:spLocks noChangeArrowheads="1"/>
          </xdr:cNvSpPr>
        </xdr:nvSpPr>
        <xdr:spPr bwMode="auto">
          <a:xfrm>
            <a:off x="183" y="2921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5" name="Line 737">
            <a:extLst>
              <a:ext uri="{FF2B5EF4-FFF2-40B4-BE49-F238E27FC236}">
                <a16:creationId xmlns:a16="http://schemas.microsoft.com/office/drawing/2014/main" id="{A846E5BA-3851-4AEB-67E6-C0BB800069F2}"/>
              </a:ext>
            </a:extLst>
          </xdr:cNvPr>
          <xdr:cNvSpPr>
            <a:spLocks noChangeShapeType="1"/>
          </xdr:cNvSpPr>
        </xdr:nvSpPr>
        <xdr:spPr bwMode="auto">
          <a:xfrm>
            <a:off x="142" y="2922"/>
            <a:ext cx="4" cy="5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6" name="Line 738">
            <a:extLst>
              <a:ext uri="{FF2B5EF4-FFF2-40B4-BE49-F238E27FC236}">
                <a16:creationId xmlns:a16="http://schemas.microsoft.com/office/drawing/2014/main" id="{2480450B-D228-8384-CDA8-997ECE16311E}"/>
              </a:ext>
            </a:extLst>
          </xdr:cNvPr>
          <xdr:cNvSpPr>
            <a:spLocks noChangeShapeType="1"/>
          </xdr:cNvSpPr>
        </xdr:nvSpPr>
        <xdr:spPr bwMode="auto">
          <a:xfrm>
            <a:off x="136" y="2927"/>
            <a:ext cx="5" cy="4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7" name="Line 741">
            <a:extLst>
              <a:ext uri="{FF2B5EF4-FFF2-40B4-BE49-F238E27FC236}">
                <a16:creationId xmlns:a16="http://schemas.microsoft.com/office/drawing/2014/main" id="{D8639632-2F3B-F144-A91B-FB838B0E40E0}"/>
              </a:ext>
            </a:extLst>
          </xdr:cNvPr>
          <xdr:cNvSpPr>
            <a:spLocks noChangeShapeType="1"/>
          </xdr:cNvSpPr>
        </xdr:nvSpPr>
        <xdr:spPr bwMode="auto">
          <a:xfrm>
            <a:off x="205" y="2910"/>
            <a:ext cx="0" cy="7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" name="Line 743">
            <a:extLst>
              <a:ext uri="{FF2B5EF4-FFF2-40B4-BE49-F238E27FC236}">
                <a16:creationId xmlns:a16="http://schemas.microsoft.com/office/drawing/2014/main" id="{E89969D7-D51C-A612-91CB-907182B5EE09}"/>
              </a:ext>
            </a:extLst>
          </xdr:cNvPr>
          <xdr:cNvSpPr>
            <a:spLocks noChangeShapeType="1"/>
          </xdr:cNvSpPr>
        </xdr:nvSpPr>
        <xdr:spPr bwMode="auto">
          <a:xfrm>
            <a:off x="121" y="2988"/>
            <a:ext cx="8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9" name="Line 745">
            <a:extLst>
              <a:ext uri="{FF2B5EF4-FFF2-40B4-BE49-F238E27FC236}">
                <a16:creationId xmlns:a16="http://schemas.microsoft.com/office/drawing/2014/main" id="{28087D1B-7A62-4084-DDFE-A1ABCB376A4D}"/>
              </a:ext>
            </a:extLst>
          </xdr:cNvPr>
          <xdr:cNvSpPr>
            <a:spLocks noChangeShapeType="1"/>
          </xdr:cNvSpPr>
        </xdr:nvSpPr>
        <xdr:spPr bwMode="auto">
          <a:xfrm>
            <a:off x="200" y="2916"/>
            <a:ext cx="2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0" name="Line 746">
            <a:extLst>
              <a:ext uri="{FF2B5EF4-FFF2-40B4-BE49-F238E27FC236}">
                <a16:creationId xmlns:a16="http://schemas.microsoft.com/office/drawing/2014/main" id="{1C24D395-AF78-6523-6D2D-5C6EC783B05B}"/>
              </a:ext>
            </a:extLst>
          </xdr:cNvPr>
          <xdr:cNvSpPr>
            <a:spLocks noChangeShapeType="1"/>
          </xdr:cNvSpPr>
        </xdr:nvSpPr>
        <xdr:spPr bwMode="auto">
          <a:xfrm>
            <a:off x="199" y="2969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1" name="Line 751">
            <a:extLst>
              <a:ext uri="{FF2B5EF4-FFF2-40B4-BE49-F238E27FC236}">
                <a16:creationId xmlns:a16="http://schemas.microsoft.com/office/drawing/2014/main" id="{EBCB162E-D64B-94FF-ABCD-96BAC4E97B34}"/>
              </a:ext>
            </a:extLst>
          </xdr:cNvPr>
          <xdr:cNvSpPr>
            <a:spLocks noChangeShapeType="1"/>
          </xdr:cNvSpPr>
        </xdr:nvSpPr>
        <xdr:spPr bwMode="auto">
          <a:xfrm flipH="1">
            <a:off x="201" y="2913"/>
            <a:ext cx="8" cy="5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2" name="Line 752">
            <a:extLst>
              <a:ext uri="{FF2B5EF4-FFF2-40B4-BE49-F238E27FC236}">
                <a16:creationId xmlns:a16="http://schemas.microsoft.com/office/drawing/2014/main" id="{3AE4B508-8A51-9C82-8F41-EC4ABE1D1F0F}"/>
              </a:ext>
            </a:extLst>
          </xdr:cNvPr>
          <xdr:cNvSpPr>
            <a:spLocks noChangeShapeType="1"/>
          </xdr:cNvSpPr>
        </xdr:nvSpPr>
        <xdr:spPr bwMode="auto">
          <a:xfrm flipH="1">
            <a:off x="202" y="296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3" name="Line 753">
            <a:extLst>
              <a:ext uri="{FF2B5EF4-FFF2-40B4-BE49-F238E27FC236}">
                <a16:creationId xmlns:a16="http://schemas.microsoft.com/office/drawing/2014/main" id="{DEE43B77-45B6-B532-F92C-8E786B3059D8}"/>
              </a:ext>
            </a:extLst>
          </xdr:cNvPr>
          <xdr:cNvSpPr>
            <a:spLocks noChangeShapeType="1"/>
          </xdr:cNvSpPr>
        </xdr:nvSpPr>
        <xdr:spPr bwMode="auto">
          <a:xfrm>
            <a:off x="130" y="2980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4" name="Line 754">
            <a:extLst>
              <a:ext uri="{FF2B5EF4-FFF2-40B4-BE49-F238E27FC236}">
                <a16:creationId xmlns:a16="http://schemas.microsoft.com/office/drawing/2014/main" id="{D525E66D-050A-3096-0192-618FCD2AF850}"/>
              </a:ext>
            </a:extLst>
          </xdr:cNvPr>
          <xdr:cNvSpPr>
            <a:spLocks noChangeShapeType="1"/>
          </xdr:cNvSpPr>
        </xdr:nvSpPr>
        <xdr:spPr bwMode="auto">
          <a:xfrm>
            <a:off x="196" y="2980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5" name="Line 755">
            <a:extLst>
              <a:ext uri="{FF2B5EF4-FFF2-40B4-BE49-F238E27FC236}">
                <a16:creationId xmlns:a16="http://schemas.microsoft.com/office/drawing/2014/main" id="{015D482E-953E-B6C6-1E69-E3B03276A67B}"/>
              </a:ext>
            </a:extLst>
          </xdr:cNvPr>
          <xdr:cNvSpPr>
            <a:spLocks noChangeShapeType="1"/>
          </xdr:cNvSpPr>
        </xdr:nvSpPr>
        <xdr:spPr bwMode="auto">
          <a:xfrm flipH="1">
            <a:off x="126" y="298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6" name="Line 756">
            <a:extLst>
              <a:ext uri="{FF2B5EF4-FFF2-40B4-BE49-F238E27FC236}">
                <a16:creationId xmlns:a16="http://schemas.microsoft.com/office/drawing/2014/main" id="{6BE0FAD1-1018-98D9-CA29-C1DAC90688E6}"/>
              </a:ext>
            </a:extLst>
          </xdr:cNvPr>
          <xdr:cNvSpPr>
            <a:spLocks noChangeShapeType="1"/>
          </xdr:cNvSpPr>
        </xdr:nvSpPr>
        <xdr:spPr bwMode="auto">
          <a:xfrm flipH="1">
            <a:off x="191" y="298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0</xdr:colOff>
      <xdr:row>805</xdr:row>
      <xdr:rowOff>0</xdr:rowOff>
    </xdr:from>
    <xdr:to>
      <xdr:col>10</xdr:col>
      <xdr:colOff>40876</xdr:colOff>
      <xdr:row>810</xdr:row>
      <xdr:rowOff>20108</xdr:rowOff>
    </xdr:to>
    <xdr:grpSp>
      <xdr:nvGrpSpPr>
        <xdr:cNvPr id="237" name="Group 724">
          <a:extLst>
            <a:ext uri="{FF2B5EF4-FFF2-40B4-BE49-F238E27FC236}">
              <a16:creationId xmlns:a16="http://schemas.microsoft.com/office/drawing/2014/main" id="{B87EDA78-C5EE-4B1F-85ED-AED489CA8761}"/>
            </a:ext>
          </a:extLst>
        </xdr:cNvPr>
        <xdr:cNvGrpSpPr>
          <a:grpSpLocks/>
        </xdr:cNvGrpSpPr>
      </xdr:nvGrpSpPr>
      <xdr:grpSpPr bwMode="auto">
        <a:xfrm>
          <a:off x="3595688" y="154066875"/>
          <a:ext cx="802876" cy="972608"/>
          <a:chOff x="121" y="2910"/>
          <a:chExt cx="99" cy="88"/>
        </a:xfrm>
      </xdr:grpSpPr>
      <xdr:sp macro="" textlink="">
        <xdr:nvSpPr>
          <xdr:cNvPr id="238" name="Rectangle 725">
            <a:extLst>
              <a:ext uri="{FF2B5EF4-FFF2-40B4-BE49-F238E27FC236}">
                <a16:creationId xmlns:a16="http://schemas.microsoft.com/office/drawing/2014/main" id="{EF87C10E-D8B5-E915-964B-BEF3420A2FBF}"/>
              </a:ext>
            </a:extLst>
          </xdr:cNvPr>
          <xdr:cNvSpPr>
            <a:spLocks noChangeArrowheads="1"/>
          </xdr:cNvSpPr>
        </xdr:nvSpPr>
        <xdr:spPr bwMode="auto">
          <a:xfrm>
            <a:off x="130" y="2916"/>
            <a:ext cx="66" cy="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39" name="Rectangle 726">
            <a:extLst>
              <a:ext uri="{FF2B5EF4-FFF2-40B4-BE49-F238E27FC236}">
                <a16:creationId xmlns:a16="http://schemas.microsoft.com/office/drawing/2014/main" id="{0E5F9E7B-888D-0479-FB50-C289CBF9514A}"/>
              </a:ext>
            </a:extLst>
          </xdr:cNvPr>
          <xdr:cNvSpPr>
            <a:spLocks noChangeArrowheads="1"/>
          </xdr:cNvSpPr>
        </xdr:nvSpPr>
        <xdr:spPr bwMode="auto">
          <a:xfrm>
            <a:off x="135" y="2921"/>
            <a:ext cx="56" cy="44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0" name="AutoShape 731">
            <a:extLst>
              <a:ext uri="{FF2B5EF4-FFF2-40B4-BE49-F238E27FC236}">
                <a16:creationId xmlns:a16="http://schemas.microsoft.com/office/drawing/2014/main" id="{D8DD8F3A-0C12-4432-BFF1-2E0A5B55C63B}"/>
              </a:ext>
            </a:extLst>
          </xdr:cNvPr>
          <xdr:cNvSpPr>
            <a:spLocks noChangeArrowheads="1"/>
          </xdr:cNvSpPr>
        </xdr:nvSpPr>
        <xdr:spPr bwMode="auto">
          <a:xfrm>
            <a:off x="183" y="2958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1" name="AutoShape 732">
            <a:extLst>
              <a:ext uri="{FF2B5EF4-FFF2-40B4-BE49-F238E27FC236}">
                <a16:creationId xmlns:a16="http://schemas.microsoft.com/office/drawing/2014/main" id="{B4071528-8AED-60C0-771C-EDBE30CA31EC}"/>
              </a:ext>
            </a:extLst>
          </xdr:cNvPr>
          <xdr:cNvSpPr>
            <a:spLocks noChangeArrowheads="1"/>
          </xdr:cNvSpPr>
        </xdr:nvSpPr>
        <xdr:spPr bwMode="auto">
          <a:xfrm>
            <a:off x="135" y="2957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2" name="AutoShape 733">
            <a:extLst>
              <a:ext uri="{FF2B5EF4-FFF2-40B4-BE49-F238E27FC236}">
                <a16:creationId xmlns:a16="http://schemas.microsoft.com/office/drawing/2014/main" id="{05502EEF-02D6-6F34-80D9-1076D6CCC9FD}"/>
              </a:ext>
            </a:extLst>
          </xdr:cNvPr>
          <xdr:cNvSpPr>
            <a:spLocks noChangeArrowheads="1"/>
          </xdr:cNvSpPr>
        </xdr:nvSpPr>
        <xdr:spPr bwMode="auto">
          <a:xfrm>
            <a:off x="134" y="2920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3" name="AutoShape 736">
            <a:extLst>
              <a:ext uri="{FF2B5EF4-FFF2-40B4-BE49-F238E27FC236}">
                <a16:creationId xmlns:a16="http://schemas.microsoft.com/office/drawing/2014/main" id="{086B1714-FFAF-7FC2-8BBD-B26DDF4F6939}"/>
              </a:ext>
            </a:extLst>
          </xdr:cNvPr>
          <xdr:cNvSpPr>
            <a:spLocks noChangeArrowheads="1"/>
          </xdr:cNvSpPr>
        </xdr:nvSpPr>
        <xdr:spPr bwMode="auto">
          <a:xfrm>
            <a:off x="183" y="2921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4" name="Line 737">
            <a:extLst>
              <a:ext uri="{FF2B5EF4-FFF2-40B4-BE49-F238E27FC236}">
                <a16:creationId xmlns:a16="http://schemas.microsoft.com/office/drawing/2014/main" id="{8932E718-4F3D-BA53-EF76-CB2FAE536A06}"/>
              </a:ext>
            </a:extLst>
          </xdr:cNvPr>
          <xdr:cNvSpPr>
            <a:spLocks noChangeShapeType="1"/>
          </xdr:cNvSpPr>
        </xdr:nvSpPr>
        <xdr:spPr bwMode="auto">
          <a:xfrm>
            <a:off x="142" y="2922"/>
            <a:ext cx="4" cy="5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5" name="Line 738">
            <a:extLst>
              <a:ext uri="{FF2B5EF4-FFF2-40B4-BE49-F238E27FC236}">
                <a16:creationId xmlns:a16="http://schemas.microsoft.com/office/drawing/2014/main" id="{55B2B4F0-B19E-C860-C46C-E2A1CCF0E6F5}"/>
              </a:ext>
            </a:extLst>
          </xdr:cNvPr>
          <xdr:cNvSpPr>
            <a:spLocks noChangeShapeType="1"/>
          </xdr:cNvSpPr>
        </xdr:nvSpPr>
        <xdr:spPr bwMode="auto">
          <a:xfrm>
            <a:off x="136" y="2927"/>
            <a:ext cx="5" cy="4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6" name="Line 741">
            <a:extLst>
              <a:ext uri="{FF2B5EF4-FFF2-40B4-BE49-F238E27FC236}">
                <a16:creationId xmlns:a16="http://schemas.microsoft.com/office/drawing/2014/main" id="{635A94B5-8DE4-976B-1EE0-532F5FF994AB}"/>
              </a:ext>
            </a:extLst>
          </xdr:cNvPr>
          <xdr:cNvSpPr>
            <a:spLocks noChangeShapeType="1"/>
          </xdr:cNvSpPr>
        </xdr:nvSpPr>
        <xdr:spPr bwMode="auto">
          <a:xfrm>
            <a:off x="205" y="2910"/>
            <a:ext cx="0" cy="7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7" name="Line 743">
            <a:extLst>
              <a:ext uri="{FF2B5EF4-FFF2-40B4-BE49-F238E27FC236}">
                <a16:creationId xmlns:a16="http://schemas.microsoft.com/office/drawing/2014/main" id="{AE14AE03-9D80-12BC-A97D-6348C68B16D5}"/>
              </a:ext>
            </a:extLst>
          </xdr:cNvPr>
          <xdr:cNvSpPr>
            <a:spLocks noChangeShapeType="1"/>
          </xdr:cNvSpPr>
        </xdr:nvSpPr>
        <xdr:spPr bwMode="auto">
          <a:xfrm>
            <a:off x="121" y="2988"/>
            <a:ext cx="8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8" name="Line 745">
            <a:extLst>
              <a:ext uri="{FF2B5EF4-FFF2-40B4-BE49-F238E27FC236}">
                <a16:creationId xmlns:a16="http://schemas.microsoft.com/office/drawing/2014/main" id="{FE089E5D-3612-DC09-D728-3A8D9D4568C8}"/>
              </a:ext>
            </a:extLst>
          </xdr:cNvPr>
          <xdr:cNvSpPr>
            <a:spLocks noChangeShapeType="1"/>
          </xdr:cNvSpPr>
        </xdr:nvSpPr>
        <xdr:spPr bwMode="auto">
          <a:xfrm>
            <a:off x="200" y="2916"/>
            <a:ext cx="2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9" name="Line 746">
            <a:extLst>
              <a:ext uri="{FF2B5EF4-FFF2-40B4-BE49-F238E27FC236}">
                <a16:creationId xmlns:a16="http://schemas.microsoft.com/office/drawing/2014/main" id="{222AA982-DF66-7531-F514-89CEDB8DB442}"/>
              </a:ext>
            </a:extLst>
          </xdr:cNvPr>
          <xdr:cNvSpPr>
            <a:spLocks noChangeShapeType="1"/>
          </xdr:cNvSpPr>
        </xdr:nvSpPr>
        <xdr:spPr bwMode="auto">
          <a:xfrm>
            <a:off x="199" y="2969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0" name="Line 751">
            <a:extLst>
              <a:ext uri="{FF2B5EF4-FFF2-40B4-BE49-F238E27FC236}">
                <a16:creationId xmlns:a16="http://schemas.microsoft.com/office/drawing/2014/main" id="{66E21C9B-4DEE-A866-7022-533574087450}"/>
              </a:ext>
            </a:extLst>
          </xdr:cNvPr>
          <xdr:cNvSpPr>
            <a:spLocks noChangeShapeType="1"/>
          </xdr:cNvSpPr>
        </xdr:nvSpPr>
        <xdr:spPr bwMode="auto">
          <a:xfrm flipH="1">
            <a:off x="201" y="2913"/>
            <a:ext cx="8" cy="5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1" name="Line 752">
            <a:extLst>
              <a:ext uri="{FF2B5EF4-FFF2-40B4-BE49-F238E27FC236}">
                <a16:creationId xmlns:a16="http://schemas.microsoft.com/office/drawing/2014/main" id="{161BD52B-6E99-7B6C-D9AD-06BB96AEF41D}"/>
              </a:ext>
            </a:extLst>
          </xdr:cNvPr>
          <xdr:cNvSpPr>
            <a:spLocks noChangeShapeType="1"/>
          </xdr:cNvSpPr>
        </xdr:nvSpPr>
        <xdr:spPr bwMode="auto">
          <a:xfrm flipH="1">
            <a:off x="202" y="296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2" name="Line 753">
            <a:extLst>
              <a:ext uri="{FF2B5EF4-FFF2-40B4-BE49-F238E27FC236}">
                <a16:creationId xmlns:a16="http://schemas.microsoft.com/office/drawing/2014/main" id="{156BFD44-59E3-0470-B135-A1733D13AA41}"/>
              </a:ext>
            </a:extLst>
          </xdr:cNvPr>
          <xdr:cNvSpPr>
            <a:spLocks noChangeShapeType="1"/>
          </xdr:cNvSpPr>
        </xdr:nvSpPr>
        <xdr:spPr bwMode="auto">
          <a:xfrm>
            <a:off x="130" y="2980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3" name="Line 754">
            <a:extLst>
              <a:ext uri="{FF2B5EF4-FFF2-40B4-BE49-F238E27FC236}">
                <a16:creationId xmlns:a16="http://schemas.microsoft.com/office/drawing/2014/main" id="{B878354E-E80D-55A5-207A-9A769E782003}"/>
              </a:ext>
            </a:extLst>
          </xdr:cNvPr>
          <xdr:cNvSpPr>
            <a:spLocks noChangeShapeType="1"/>
          </xdr:cNvSpPr>
        </xdr:nvSpPr>
        <xdr:spPr bwMode="auto">
          <a:xfrm>
            <a:off x="196" y="2980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4" name="Line 755">
            <a:extLst>
              <a:ext uri="{FF2B5EF4-FFF2-40B4-BE49-F238E27FC236}">
                <a16:creationId xmlns:a16="http://schemas.microsoft.com/office/drawing/2014/main" id="{BFCBA6A4-D213-47C3-11DA-5603AA22A949}"/>
              </a:ext>
            </a:extLst>
          </xdr:cNvPr>
          <xdr:cNvSpPr>
            <a:spLocks noChangeShapeType="1"/>
          </xdr:cNvSpPr>
        </xdr:nvSpPr>
        <xdr:spPr bwMode="auto">
          <a:xfrm flipH="1">
            <a:off x="126" y="298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5" name="Line 756">
            <a:extLst>
              <a:ext uri="{FF2B5EF4-FFF2-40B4-BE49-F238E27FC236}">
                <a16:creationId xmlns:a16="http://schemas.microsoft.com/office/drawing/2014/main" id="{1591CA79-B3A3-83D2-FD46-AE1DAA827BB9}"/>
              </a:ext>
            </a:extLst>
          </xdr:cNvPr>
          <xdr:cNvSpPr>
            <a:spLocks noChangeShapeType="1"/>
          </xdr:cNvSpPr>
        </xdr:nvSpPr>
        <xdr:spPr bwMode="auto">
          <a:xfrm flipH="1">
            <a:off x="191" y="298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333375</xdr:colOff>
      <xdr:row>822</xdr:row>
      <xdr:rowOff>178594</xdr:rowOff>
    </xdr:from>
    <xdr:to>
      <xdr:col>9</xdr:col>
      <xdr:colOff>374251</xdr:colOff>
      <xdr:row>829</xdr:row>
      <xdr:rowOff>142874</xdr:rowOff>
    </xdr:to>
    <xdr:grpSp>
      <xdr:nvGrpSpPr>
        <xdr:cNvPr id="256" name="Group 724">
          <a:extLst>
            <a:ext uri="{FF2B5EF4-FFF2-40B4-BE49-F238E27FC236}">
              <a16:creationId xmlns:a16="http://schemas.microsoft.com/office/drawing/2014/main" id="{A45F1518-CF87-4843-9241-930D28590146}"/>
            </a:ext>
          </a:extLst>
        </xdr:cNvPr>
        <xdr:cNvGrpSpPr>
          <a:grpSpLocks/>
        </xdr:cNvGrpSpPr>
      </xdr:nvGrpSpPr>
      <xdr:grpSpPr bwMode="auto">
        <a:xfrm>
          <a:off x="3548063" y="157507782"/>
          <a:ext cx="802876" cy="1297780"/>
          <a:chOff x="121" y="2910"/>
          <a:chExt cx="99" cy="88"/>
        </a:xfrm>
      </xdr:grpSpPr>
      <xdr:sp macro="" textlink="">
        <xdr:nvSpPr>
          <xdr:cNvPr id="257" name="Rectangle 725">
            <a:extLst>
              <a:ext uri="{FF2B5EF4-FFF2-40B4-BE49-F238E27FC236}">
                <a16:creationId xmlns:a16="http://schemas.microsoft.com/office/drawing/2014/main" id="{05901410-066F-4F86-3EC7-54AFB1327E0F}"/>
              </a:ext>
            </a:extLst>
          </xdr:cNvPr>
          <xdr:cNvSpPr>
            <a:spLocks noChangeArrowheads="1"/>
          </xdr:cNvSpPr>
        </xdr:nvSpPr>
        <xdr:spPr bwMode="auto">
          <a:xfrm>
            <a:off x="130" y="2916"/>
            <a:ext cx="66" cy="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8" name="Rectangle 726">
            <a:extLst>
              <a:ext uri="{FF2B5EF4-FFF2-40B4-BE49-F238E27FC236}">
                <a16:creationId xmlns:a16="http://schemas.microsoft.com/office/drawing/2014/main" id="{98471485-09BA-EF24-73DA-370B26757B6C}"/>
              </a:ext>
            </a:extLst>
          </xdr:cNvPr>
          <xdr:cNvSpPr>
            <a:spLocks noChangeArrowheads="1"/>
          </xdr:cNvSpPr>
        </xdr:nvSpPr>
        <xdr:spPr bwMode="auto">
          <a:xfrm>
            <a:off x="135" y="2921"/>
            <a:ext cx="56" cy="44"/>
          </a:xfrm>
          <a:prstGeom prst="rect">
            <a:avLst/>
          </a:prstGeom>
          <a:solidFill>
            <a:srgbClr val="FFFFFF"/>
          </a:solidFill>
          <a:ln w="2857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9" name="AutoShape 731">
            <a:extLst>
              <a:ext uri="{FF2B5EF4-FFF2-40B4-BE49-F238E27FC236}">
                <a16:creationId xmlns:a16="http://schemas.microsoft.com/office/drawing/2014/main" id="{2BB0F810-33DE-19A2-3758-DF79E05ACA91}"/>
              </a:ext>
            </a:extLst>
          </xdr:cNvPr>
          <xdr:cNvSpPr>
            <a:spLocks noChangeArrowheads="1"/>
          </xdr:cNvSpPr>
        </xdr:nvSpPr>
        <xdr:spPr bwMode="auto">
          <a:xfrm>
            <a:off x="183" y="2958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0" name="AutoShape 732">
            <a:extLst>
              <a:ext uri="{FF2B5EF4-FFF2-40B4-BE49-F238E27FC236}">
                <a16:creationId xmlns:a16="http://schemas.microsoft.com/office/drawing/2014/main" id="{3FE4E2C3-8003-E2C5-F1A1-5C198D6A2129}"/>
              </a:ext>
            </a:extLst>
          </xdr:cNvPr>
          <xdr:cNvSpPr>
            <a:spLocks noChangeArrowheads="1"/>
          </xdr:cNvSpPr>
        </xdr:nvSpPr>
        <xdr:spPr bwMode="auto">
          <a:xfrm>
            <a:off x="135" y="2957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1" name="AutoShape 733">
            <a:extLst>
              <a:ext uri="{FF2B5EF4-FFF2-40B4-BE49-F238E27FC236}">
                <a16:creationId xmlns:a16="http://schemas.microsoft.com/office/drawing/2014/main" id="{23BEF2F0-D96E-6689-EBD4-D914C03C0691}"/>
              </a:ext>
            </a:extLst>
          </xdr:cNvPr>
          <xdr:cNvSpPr>
            <a:spLocks noChangeArrowheads="1"/>
          </xdr:cNvSpPr>
        </xdr:nvSpPr>
        <xdr:spPr bwMode="auto">
          <a:xfrm>
            <a:off x="134" y="2920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2" name="AutoShape 736">
            <a:extLst>
              <a:ext uri="{FF2B5EF4-FFF2-40B4-BE49-F238E27FC236}">
                <a16:creationId xmlns:a16="http://schemas.microsoft.com/office/drawing/2014/main" id="{22585FA9-19BC-B932-AEAC-63CCDD37224F}"/>
              </a:ext>
            </a:extLst>
          </xdr:cNvPr>
          <xdr:cNvSpPr>
            <a:spLocks noChangeArrowheads="1"/>
          </xdr:cNvSpPr>
        </xdr:nvSpPr>
        <xdr:spPr bwMode="auto">
          <a:xfrm>
            <a:off x="183" y="2921"/>
            <a:ext cx="8" cy="8"/>
          </a:xfrm>
          <a:prstGeom prst="flowChartConnector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" name="Line 737">
            <a:extLst>
              <a:ext uri="{FF2B5EF4-FFF2-40B4-BE49-F238E27FC236}">
                <a16:creationId xmlns:a16="http://schemas.microsoft.com/office/drawing/2014/main" id="{C7399D47-0B3F-C7E8-4FE1-E68CEB2E1893}"/>
              </a:ext>
            </a:extLst>
          </xdr:cNvPr>
          <xdr:cNvSpPr>
            <a:spLocks noChangeShapeType="1"/>
          </xdr:cNvSpPr>
        </xdr:nvSpPr>
        <xdr:spPr bwMode="auto">
          <a:xfrm>
            <a:off x="142" y="2922"/>
            <a:ext cx="4" cy="5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4" name="Line 738">
            <a:extLst>
              <a:ext uri="{FF2B5EF4-FFF2-40B4-BE49-F238E27FC236}">
                <a16:creationId xmlns:a16="http://schemas.microsoft.com/office/drawing/2014/main" id="{BB40E118-9937-A29C-F981-343F3DB3C907}"/>
              </a:ext>
            </a:extLst>
          </xdr:cNvPr>
          <xdr:cNvSpPr>
            <a:spLocks noChangeShapeType="1"/>
          </xdr:cNvSpPr>
        </xdr:nvSpPr>
        <xdr:spPr bwMode="auto">
          <a:xfrm>
            <a:off x="136" y="2927"/>
            <a:ext cx="5" cy="4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5" name="Line 741">
            <a:extLst>
              <a:ext uri="{FF2B5EF4-FFF2-40B4-BE49-F238E27FC236}">
                <a16:creationId xmlns:a16="http://schemas.microsoft.com/office/drawing/2014/main" id="{A73BDD87-772B-AFAD-BE43-D1FDAEFC1D38}"/>
              </a:ext>
            </a:extLst>
          </xdr:cNvPr>
          <xdr:cNvSpPr>
            <a:spLocks noChangeShapeType="1"/>
          </xdr:cNvSpPr>
        </xdr:nvSpPr>
        <xdr:spPr bwMode="auto">
          <a:xfrm>
            <a:off x="205" y="2910"/>
            <a:ext cx="0" cy="7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6" name="Line 743">
            <a:extLst>
              <a:ext uri="{FF2B5EF4-FFF2-40B4-BE49-F238E27FC236}">
                <a16:creationId xmlns:a16="http://schemas.microsoft.com/office/drawing/2014/main" id="{A1181B9B-935F-AB9F-EC77-ADAFAD607D29}"/>
              </a:ext>
            </a:extLst>
          </xdr:cNvPr>
          <xdr:cNvSpPr>
            <a:spLocks noChangeShapeType="1"/>
          </xdr:cNvSpPr>
        </xdr:nvSpPr>
        <xdr:spPr bwMode="auto">
          <a:xfrm>
            <a:off x="121" y="2988"/>
            <a:ext cx="86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7" name="Line 745">
            <a:extLst>
              <a:ext uri="{FF2B5EF4-FFF2-40B4-BE49-F238E27FC236}">
                <a16:creationId xmlns:a16="http://schemas.microsoft.com/office/drawing/2014/main" id="{615A5362-8061-A4D1-47B0-AED35133EC25}"/>
              </a:ext>
            </a:extLst>
          </xdr:cNvPr>
          <xdr:cNvSpPr>
            <a:spLocks noChangeShapeType="1"/>
          </xdr:cNvSpPr>
        </xdr:nvSpPr>
        <xdr:spPr bwMode="auto">
          <a:xfrm>
            <a:off x="200" y="2916"/>
            <a:ext cx="20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8" name="Line 746">
            <a:extLst>
              <a:ext uri="{FF2B5EF4-FFF2-40B4-BE49-F238E27FC236}">
                <a16:creationId xmlns:a16="http://schemas.microsoft.com/office/drawing/2014/main" id="{C93412E3-8E91-34EF-1000-5B8486219C66}"/>
              </a:ext>
            </a:extLst>
          </xdr:cNvPr>
          <xdr:cNvSpPr>
            <a:spLocks noChangeShapeType="1"/>
          </xdr:cNvSpPr>
        </xdr:nvSpPr>
        <xdr:spPr bwMode="auto">
          <a:xfrm>
            <a:off x="199" y="2969"/>
            <a:ext cx="18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9" name="Line 751">
            <a:extLst>
              <a:ext uri="{FF2B5EF4-FFF2-40B4-BE49-F238E27FC236}">
                <a16:creationId xmlns:a16="http://schemas.microsoft.com/office/drawing/2014/main" id="{AC5D4A86-60DC-D70B-37F9-C650B3911BAB}"/>
              </a:ext>
            </a:extLst>
          </xdr:cNvPr>
          <xdr:cNvSpPr>
            <a:spLocks noChangeShapeType="1"/>
          </xdr:cNvSpPr>
        </xdr:nvSpPr>
        <xdr:spPr bwMode="auto">
          <a:xfrm flipH="1">
            <a:off x="201" y="2913"/>
            <a:ext cx="8" cy="5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0" name="Line 752">
            <a:extLst>
              <a:ext uri="{FF2B5EF4-FFF2-40B4-BE49-F238E27FC236}">
                <a16:creationId xmlns:a16="http://schemas.microsoft.com/office/drawing/2014/main" id="{4CC7E0F5-F5C7-107C-017E-2B8A486800ED}"/>
              </a:ext>
            </a:extLst>
          </xdr:cNvPr>
          <xdr:cNvSpPr>
            <a:spLocks noChangeShapeType="1"/>
          </xdr:cNvSpPr>
        </xdr:nvSpPr>
        <xdr:spPr bwMode="auto">
          <a:xfrm flipH="1">
            <a:off x="202" y="296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1" name="Line 753">
            <a:extLst>
              <a:ext uri="{FF2B5EF4-FFF2-40B4-BE49-F238E27FC236}">
                <a16:creationId xmlns:a16="http://schemas.microsoft.com/office/drawing/2014/main" id="{4B7B08D3-1885-CDFE-E354-F65270F90E00}"/>
              </a:ext>
            </a:extLst>
          </xdr:cNvPr>
          <xdr:cNvSpPr>
            <a:spLocks noChangeShapeType="1"/>
          </xdr:cNvSpPr>
        </xdr:nvSpPr>
        <xdr:spPr bwMode="auto">
          <a:xfrm>
            <a:off x="130" y="2980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2" name="Line 754">
            <a:extLst>
              <a:ext uri="{FF2B5EF4-FFF2-40B4-BE49-F238E27FC236}">
                <a16:creationId xmlns:a16="http://schemas.microsoft.com/office/drawing/2014/main" id="{92BC788C-CF7A-6B30-1686-140AFE1A1C95}"/>
              </a:ext>
            </a:extLst>
          </xdr:cNvPr>
          <xdr:cNvSpPr>
            <a:spLocks noChangeShapeType="1"/>
          </xdr:cNvSpPr>
        </xdr:nvSpPr>
        <xdr:spPr bwMode="auto">
          <a:xfrm>
            <a:off x="196" y="2980"/>
            <a:ext cx="0" cy="1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3" name="Line 755">
            <a:extLst>
              <a:ext uri="{FF2B5EF4-FFF2-40B4-BE49-F238E27FC236}">
                <a16:creationId xmlns:a16="http://schemas.microsoft.com/office/drawing/2014/main" id="{7EB35BAF-F2F3-CE7A-0B85-28EB15068509}"/>
              </a:ext>
            </a:extLst>
          </xdr:cNvPr>
          <xdr:cNvSpPr>
            <a:spLocks noChangeShapeType="1"/>
          </xdr:cNvSpPr>
        </xdr:nvSpPr>
        <xdr:spPr bwMode="auto">
          <a:xfrm flipH="1">
            <a:off x="126" y="298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4" name="Line 756">
            <a:extLst>
              <a:ext uri="{FF2B5EF4-FFF2-40B4-BE49-F238E27FC236}">
                <a16:creationId xmlns:a16="http://schemas.microsoft.com/office/drawing/2014/main" id="{44CFBE28-47D2-9641-D10C-D129E1A2BEDB}"/>
              </a:ext>
            </a:extLst>
          </xdr:cNvPr>
          <xdr:cNvSpPr>
            <a:spLocks noChangeShapeType="1"/>
          </xdr:cNvSpPr>
        </xdr:nvSpPr>
        <xdr:spPr bwMode="auto">
          <a:xfrm flipH="1">
            <a:off x="191" y="2985"/>
            <a:ext cx="8" cy="6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6</xdr:col>
      <xdr:colOff>297655</xdr:colOff>
      <xdr:row>611</xdr:row>
      <xdr:rowOff>130968</xdr:rowOff>
    </xdr:from>
    <xdr:to>
      <xdr:col>11</xdr:col>
      <xdr:colOff>89804</xdr:colOff>
      <xdr:row>618</xdr:row>
      <xdr:rowOff>178593</xdr:rowOff>
    </xdr:to>
    <xdr:pic>
      <xdr:nvPicPr>
        <xdr:cNvPr id="275" name="Picture 8">
          <a:extLst>
            <a:ext uri="{FF2B5EF4-FFF2-40B4-BE49-F238E27FC236}">
              <a16:creationId xmlns:a16="http://schemas.microsoft.com/office/drawing/2014/main" id="{F77A5373-4675-44F8-A6C1-6A0265749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3131343" y="116216906"/>
          <a:ext cx="1697149" cy="1381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314327</xdr:colOff>
      <xdr:row>2</xdr:row>
      <xdr:rowOff>145256</xdr:rowOff>
    </xdr:from>
    <xdr:to>
      <xdr:col>20</xdr:col>
      <xdr:colOff>76199</xdr:colOff>
      <xdr:row>138</xdr:row>
      <xdr:rowOff>73138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122A7C-7941-0D07-5FFB-11320A6F8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DAM\!PDAM\!!!%20PDAM%20CABANG\!Pusat\2022\!DAFTAR%20HARGA%202022\Ahsp%202022%20Perumda%20Tirta%20Mahakam%20-%20V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P (2)"/>
      <sheetName val="HSP"/>
      <sheetName val="AHSP2022 Sipil"/>
      <sheetName val="HSP Pipa"/>
      <sheetName val="AHSP Pipa PVC"/>
      <sheetName val="AHSP Pipa HDPE"/>
      <sheetName val="BAHAN"/>
      <sheetName val="UPAH"/>
      <sheetName val="Peralatan"/>
      <sheetName val="Daftar Besi Beton Ulir"/>
      <sheetName val="Daftar Besi Beton Polo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HARGA DASAR SATUAN BAHAN</v>
          </cell>
          <cell r="C2"/>
          <cell r="D2"/>
        </row>
        <row r="3">
          <cell r="B3"/>
          <cell r="C3"/>
          <cell r="D3"/>
        </row>
      </sheetData>
      <sheetData sheetId="7">
        <row r="3">
          <cell r="C3" t="str">
            <v>HARGA DASAR SATUAN UPAH</v>
          </cell>
          <cell r="D3"/>
          <cell r="E3"/>
          <cell r="F3"/>
          <cell r="G3"/>
        </row>
        <row r="5">
          <cell r="C5" t="str">
            <v>No.</v>
          </cell>
          <cell r="D5" t="str">
            <v>Tenaga Kerja</v>
          </cell>
          <cell r="E5"/>
          <cell r="F5"/>
          <cell r="G5"/>
        </row>
        <row r="6">
          <cell r="C6"/>
          <cell r="D6"/>
          <cell r="E6"/>
          <cell r="F6"/>
          <cell r="G6"/>
        </row>
        <row r="7">
          <cell r="C7"/>
          <cell r="D7"/>
          <cell r="E7"/>
          <cell r="F7"/>
          <cell r="G7"/>
        </row>
        <row r="8">
          <cell r="C8">
            <v>1</v>
          </cell>
          <cell r="D8"/>
          <cell r="E8" t="str">
            <v>Pekerja</v>
          </cell>
          <cell r="F8"/>
          <cell r="G8"/>
        </row>
        <row r="9">
          <cell r="C9"/>
          <cell r="D9"/>
          <cell r="E9" t="str">
            <v>Pekerja Anyam</v>
          </cell>
          <cell r="F9"/>
          <cell r="G9"/>
        </row>
        <row r="10">
          <cell r="C10"/>
          <cell r="D10"/>
          <cell r="E10" t="str">
            <v>Pekerja Pengisi Batu</v>
          </cell>
          <cell r="F10"/>
          <cell r="G10"/>
        </row>
        <row r="11">
          <cell r="C11">
            <v>2</v>
          </cell>
          <cell r="D11"/>
          <cell r="E11" t="str">
            <v>Tukang</v>
          </cell>
          <cell r="F11"/>
          <cell r="G11"/>
        </row>
        <row r="12">
          <cell r="C12">
            <v>3</v>
          </cell>
          <cell r="D12"/>
          <cell r="E12" t="str">
            <v>Tukang Gali</v>
          </cell>
          <cell r="F12"/>
          <cell r="G12"/>
        </row>
        <row r="13">
          <cell r="C13">
            <v>4</v>
          </cell>
          <cell r="D13"/>
          <cell r="E13" t="str">
            <v>Tukang Batu</v>
          </cell>
          <cell r="F13"/>
          <cell r="G13"/>
        </row>
        <row r="14">
          <cell r="C14">
            <v>5</v>
          </cell>
          <cell r="D14"/>
          <cell r="E14" t="str">
            <v>Tukang Kayu</v>
          </cell>
          <cell r="F14"/>
          <cell r="G14"/>
        </row>
        <row r="15">
          <cell r="C15">
            <v>6</v>
          </cell>
          <cell r="D15"/>
          <cell r="E15" t="str">
            <v>Tukang Besi</v>
          </cell>
          <cell r="F15"/>
          <cell r="G15"/>
        </row>
        <row r="16">
          <cell r="C16">
            <v>7</v>
          </cell>
          <cell r="D16"/>
          <cell r="E16" t="str">
            <v>Tukang Besi Konstruksi</v>
          </cell>
          <cell r="F16"/>
          <cell r="G16"/>
        </row>
        <row r="17">
          <cell r="C17"/>
          <cell r="D17"/>
          <cell r="E17" t="str">
            <v>Tukang Alumunium</v>
          </cell>
          <cell r="F17"/>
          <cell r="G17"/>
        </row>
        <row r="18">
          <cell r="C18">
            <v>8</v>
          </cell>
          <cell r="D18"/>
          <cell r="E18" t="str">
            <v>Tukang Cat</v>
          </cell>
          <cell r="F18"/>
          <cell r="G18"/>
        </row>
        <row r="19">
          <cell r="C19">
            <v>9</v>
          </cell>
          <cell r="D19"/>
          <cell r="E19" t="str">
            <v>Tukang Pipa</v>
          </cell>
          <cell r="F19"/>
          <cell r="G19"/>
        </row>
        <row r="20">
          <cell r="C20">
            <v>10</v>
          </cell>
          <cell r="D20"/>
          <cell r="E20" t="str">
            <v>Tukang Pengayam Bronjong</v>
          </cell>
          <cell r="F20"/>
          <cell r="G20"/>
        </row>
        <row r="21">
          <cell r="C21">
            <v>11</v>
          </cell>
          <cell r="D21"/>
          <cell r="E21" t="str">
            <v>Tukang Tebas</v>
          </cell>
          <cell r="F21"/>
          <cell r="G21"/>
        </row>
        <row r="22">
          <cell r="C22">
            <v>12</v>
          </cell>
          <cell r="D22"/>
          <cell r="E22" t="str">
            <v>Tukang Vibrator</v>
          </cell>
          <cell r="F22"/>
          <cell r="G22"/>
        </row>
        <row r="23">
          <cell r="C23">
            <v>13</v>
          </cell>
          <cell r="D23"/>
          <cell r="E23" t="str">
            <v>Tukang Ereksi</v>
          </cell>
          <cell r="F23"/>
          <cell r="G23"/>
        </row>
        <row r="24">
          <cell r="C24">
            <v>14</v>
          </cell>
          <cell r="D24"/>
          <cell r="E24" t="str">
            <v>Tukang Las</v>
          </cell>
          <cell r="F24"/>
          <cell r="G24"/>
        </row>
        <row r="25">
          <cell r="C25">
            <v>15</v>
          </cell>
          <cell r="D25"/>
          <cell r="E25" t="str">
            <v>Tukang Las Konstruksi</v>
          </cell>
          <cell r="F25"/>
          <cell r="G25"/>
        </row>
        <row r="26">
          <cell r="C26">
            <v>16</v>
          </cell>
          <cell r="D26"/>
          <cell r="E26" t="str">
            <v>Kepala Tukang</v>
          </cell>
          <cell r="F26"/>
          <cell r="G26"/>
        </row>
        <row r="27">
          <cell r="C27">
            <v>17</v>
          </cell>
          <cell r="D27"/>
          <cell r="E27" t="str">
            <v>Mandor</v>
          </cell>
          <cell r="F27"/>
          <cell r="G27"/>
        </row>
        <row r="28">
          <cell r="C28">
            <v>18</v>
          </cell>
          <cell r="D28"/>
          <cell r="E28" t="str">
            <v>Juru Ukur</v>
          </cell>
          <cell r="F28"/>
          <cell r="G28"/>
        </row>
        <row r="29">
          <cell r="C29">
            <v>19</v>
          </cell>
          <cell r="D29"/>
          <cell r="E29" t="str">
            <v>Pembantu Juru Ukur</v>
          </cell>
          <cell r="F29"/>
          <cell r="G29"/>
        </row>
        <row r="30">
          <cell r="C30">
            <v>20</v>
          </cell>
          <cell r="D30"/>
          <cell r="E30" t="str">
            <v>Ahli Alat Berat ( Mekanik )</v>
          </cell>
          <cell r="F30"/>
          <cell r="G30"/>
        </row>
        <row r="31">
          <cell r="C31">
            <v>21</v>
          </cell>
          <cell r="D31"/>
          <cell r="E31" t="str">
            <v>Operator Alat Berat</v>
          </cell>
          <cell r="F31"/>
          <cell r="G31"/>
        </row>
        <row r="32">
          <cell r="C32">
            <v>22</v>
          </cell>
          <cell r="D32"/>
          <cell r="E32" t="str">
            <v>Pembantu Operator</v>
          </cell>
          <cell r="F32"/>
          <cell r="G32"/>
        </row>
        <row r="33">
          <cell r="C33">
            <v>23</v>
          </cell>
          <cell r="D33"/>
          <cell r="E33" t="str">
            <v>Operator Alat Pipa</v>
          </cell>
          <cell r="F33"/>
          <cell r="G33"/>
        </row>
        <row r="34">
          <cell r="C34">
            <v>24</v>
          </cell>
          <cell r="D34"/>
          <cell r="E34" t="str">
            <v>Sopir Truck</v>
          </cell>
          <cell r="F34"/>
          <cell r="G34"/>
        </row>
        <row r="35">
          <cell r="C35">
            <v>25</v>
          </cell>
          <cell r="D35"/>
          <cell r="E35" t="str">
            <v>Kenek Truk</v>
          </cell>
          <cell r="F35"/>
          <cell r="G35"/>
        </row>
        <row r="36">
          <cell r="C36">
            <v>26</v>
          </cell>
          <cell r="D36"/>
          <cell r="E36" t="str">
            <v>Penjaga Malam</v>
          </cell>
          <cell r="F36"/>
          <cell r="G36"/>
        </row>
        <row r="37">
          <cell r="C37">
            <v>27</v>
          </cell>
          <cell r="D37"/>
          <cell r="E37" t="str">
            <v>Juru Gambar (Drafter)</v>
          </cell>
          <cell r="F37"/>
          <cell r="G37"/>
        </row>
        <row r="38">
          <cell r="C38">
            <v>28</v>
          </cell>
          <cell r="D38"/>
          <cell r="E38" t="str">
            <v>Design Engineer</v>
          </cell>
          <cell r="F38"/>
          <cell r="G38"/>
        </row>
        <row r="39">
          <cell r="C39">
            <v>29</v>
          </cell>
          <cell r="D39"/>
          <cell r="E39" t="str">
            <v>Operator Printer/Plotter</v>
          </cell>
          <cell r="F39"/>
          <cell r="G39"/>
        </row>
        <row r="40">
          <cell r="C40">
            <v>30</v>
          </cell>
          <cell r="D40"/>
          <cell r="E40" t="str">
            <v>Operator crane</v>
          </cell>
          <cell r="F40"/>
          <cell r="G40"/>
        </row>
        <row r="41">
          <cell r="C41">
            <v>31</v>
          </cell>
          <cell r="D41"/>
          <cell r="E41" t="str">
            <v>Pembantu operator crane</v>
          </cell>
          <cell r="F41"/>
          <cell r="G41"/>
        </row>
        <row r="42">
          <cell r="C42">
            <v>32</v>
          </cell>
          <cell r="D42"/>
          <cell r="E42" t="str">
            <v>Bor Master</v>
          </cell>
          <cell r="F42"/>
          <cell r="G42"/>
        </row>
        <row r="43">
          <cell r="C43">
            <v>33</v>
          </cell>
          <cell r="D43"/>
          <cell r="E43" t="str">
            <v>Operator Mesin Bor</v>
          </cell>
          <cell r="F43"/>
          <cell r="G43"/>
        </row>
        <row r="44">
          <cell r="C44"/>
          <cell r="D44"/>
          <cell r="E44"/>
          <cell r="F44"/>
          <cell r="G44"/>
        </row>
        <row r="45">
          <cell r="C45"/>
          <cell r="D45"/>
          <cell r="E45"/>
          <cell r="F45"/>
          <cell r="G45"/>
        </row>
        <row r="46">
          <cell r="C46"/>
          <cell r="D46"/>
          <cell r="E46"/>
          <cell r="F46"/>
          <cell r="G46"/>
        </row>
        <row r="47">
          <cell r="C47"/>
          <cell r="D47"/>
          <cell r="E47"/>
          <cell r="F47"/>
          <cell r="G47"/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D718F-3E1F-4958-946A-5C8A3767F184}">
  <dimension ref="B2:K27"/>
  <sheetViews>
    <sheetView showGridLines="0" workbookViewId="0">
      <selection activeCell="F31" sqref="F31"/>
    </sheetView>
  </sheetViews>
  <sheetFormatPr defaultRowHeight="15" x14ac:dyDescent="0.25"/>
  <cols>
    <col min="2" max="2" width="5.42578125" customWidth="1"/>
    <col min="3" max="3" width="45.7109375" customWidth="1"/>
    <col min="4" max="4" width="8.28515625" style="87" customWidth="1"/>
    <col min="5" max="5" width="11.42578125" customWidth="1"/>
    <col min="6" max="7" width="17.85546875" customWidth="1"/>
    <col min="11" max="11" width="12.85546875" bestFit="1" customWidth="1"/>
    <col min="12" max="12" width="10" bestFit="1" customWidth="1"/>
  </cols>
  <sheetData>
    <row r="2" spans="2:11" ht="18.75" x14ac:dyDescent="0.3">
      <c r="B2" s="440" t="s">
        <v>1950</v>
      </c>
      <c r="C2" s="440"/>
      <c r="D2" s="440"/>
      <c r="E2" s="440"/>
      <c r="F2" s="440"/>
      <c r="G2" s="440"/>
    </row>
    <row r="3" spans="2:11" ht="18.75" x14ac:dyDescent="0.3">
      <c r="B3" s="440" t="s">
        <v>287</v>
      </c>
      <c r="C3" s="440"/>
      <c r="D3" s="440"/>
      <c r="E3" s="440"/>
      <c r="F3" s="440"/>
      <c r="G3" s="440"/>
    </row>
    <row r="7" spans="2:11" ht="15.75" thickBot="1" x14ac:dyDescent="0.3"/>
    <row r="8" spans="2:11" ht="15.75" thickTop="1" x14ac:dyDescent="0.25">
      <c r="B8" s="452" t="s">
        <v>328</v>
      </c>
      <c r="C8" s="441" t="s">
        <v>329</v>
      </c>
      <c r="D8" s="442"/>
      <c r="E8" s="442"/>
      <c r="F8" s="443"/>
      <c r="G8" s="450" t="s">
        <v>333</v>
      </c>
    </row>
    <row r="9" spans="2:11" x14ac:dyDescent="0.25">
      <c r="B9" s="453"/>
      <c r="C9" s="444"/>
      <c r="D9" s="445"/>
      <c r="E9" s="445"/>
      <c r="F9" s="446"/>
      <c r="G9" s="451"/>
    </row>
    <row r="10" spans="2:11" ht="15.75" thickBot="1" x14ac:dyDescent="0.3">
      <c r="B10" s="90">
        <v>1</v>
      </c>
      <c r="C10" s="447">
        <v>2</v>
      </c>
      <c r="D10" s="448"/>
      <c r="E10" s="448"/>
      <c r="F10" s="449"/>
      <c r="G10" s="92">
        <v>3</v>
      </c>
    </row>
    <row r="11" spans="2:11" ht="15.75" thickTop="1" x14ac:dyDescent="0.25">
      <c r="B11" s="100" t="s">
        <v>9</v>
      </c>
      <c r="C11" s="364" t="s">
        <v>10</v>
      </c>
      <c r="D11" s="365"/>
      <c r="E11" s="12"/>
      <c r="F11" s="13"/>
      <c r="G11" s="361">
        <f>RAB!G14</f>
        <v>8967640</v>
      </c>
    </row>
    <row r="12" spans="2:11" x14ac:dyDescent="0.25">
      <c r="B12" s="99" t="s">
        <v>23</v>
      </c>
      <c r="C12" s="21" t="s">
        <v>291</v>
      </c>
      <c r="D12" s="22"/>
      <c r="E12" s="15"/>
      <c r="F12" s="16"/>
      <c r="G12" s="359">
        <f>RAB!G20</f>
        <v>7366305.7312500011</v>
      </c>
    </row>
    <row r="13" spans="2:11" x14ac:dyDescent="0.25">
      <c r="B13" s="99" t="s">
        <v>52</v>
      </c>
      <c r="C13" s="21" t="s">
        <v>293</v>
      </c>
      <c r="D13" s="22"/>
      <c r="E13" s="15"/>
      <c r="F13" s="16"/>
      <c r="G13" s="359">
        <f>RAB!G27</f>
        <v>106538410.13</v>
      </c>
    </row>
    <row r="14" spans="2:11" x14ac:dyDescent="0.25">
      <c r="B14" s="99" t="s">
        <v>121</v>
      </c>
      <c r="C14" s="21" t="s">
        <v>122</v>
      </c>
      <c r="D14" s="22"/>
      <c r="E14" s="15"/>
      <c r="F14" s="16"/>
      <c r="G14" s="359">
        <f>RAB!G49</f>
        <v>42364053.906166665</v>
      </c>
    </row>
    <row r="15" spans="2:11" x14ac:dyDescent="0.25">
      <c r="B15" s="99" t="s">
        <v>187</v>
      </c>
      <c r="C15" s="21" t="s">
        <v>295</v>
      </c>
      <c r="D15" s="22"/>
      <c r="E15" s="15"/>
      <c r="F15" s="16"/>
      <c r="G15" s="359">
        <f>RAB!G57</f>
        <v>94737640.024420023</v>
      </c>
      <c r="K15" s="278"/>
    </row>
    <row r="16" spans="2:11" x14ac:dyDescent="0.25">
      <c r="B16" s="99" t="s">
        <v>204</v>
      </c>
      <c r="C16" s="21" t="s">
        <v>298</v>
      </c>
      <c r="D16" s="22"/>
      <c r="E16" s="15"/>
      <c r="F16" s="16"/>
      <c r="G16" s="359">
        <f>RAB!G64</f>
        <v>12959356.0536</v>
      </c>
    </row>
    <row r="17" spans="2:7" x14ac:dyDescent="0.25">
      <c r="B17" s="99" t="s">
        <v>228</v>
      </c>
      <c r="C17" s="21" t="s">
        <v>301</v>
      </c>
      <c r="D17" s="22"/>
      <c r="E17" s="15"/>
      <c r="F17" s="16"/>
      <c r="G17" s="359">
        <f>RAB!G68</f>
        <v>14415840</v>
      </c>
    </row>
    <row r="18" spans="2:7" x14ac:dyDescent="0.25">
      <c r="B18" s="99" t="s">
        <v>285</v>
      </c>
      <c r="C18" s="21" t="s">
        <v>304</v>
      </c>
      <c r="D18" s="22"/>
      <c r="E18" s="15"/>
      <c r="F18" s="16"/>
      <c r="G18" s="359">
        <f>RAB!G77</f>
        <v>3675048</v>
      </c>
    </row>
    <row r="19" spans="2:7" x14ac:dyDescent="0.25">
      <c r="B19" s="99" t="s">
        <v>246</v>
      </c>
      <c r="C19" s="21" t="s">
        <v>305</v>
      </c>
      <c r="D19" s="22"/>
      <c r="E19" s="15"/>
      <c r="F19" s="16"/>
      <c r="G19" s="359">
        <f>RAB!G91</f>
        <v>8180192</v>
      </c>
    </row>
    <row r="20" spans="2:7" x14ac:dyDescent="0.25">
      <c r="B20" s="99" t="s">
        <v>16</v>
      </c>
      <c r="C20" s="21" t="s">
        <v>260</v>
      </c>
      <c r="D20" s="22"/>
      <c r="E20" s="15"/>
      <c r="F20" s="16"/>
      <c r="G20" s="359">
        <f>RAB!G97</f>
        <v>15627178.358000001</v>
      </c>
    </row>
    <row r="21" spans="2:7" x14ac:dyDescent="0.25">
      <c r="B21" s="99" t="s">
        <v>270</v>
      </c>
      <c r="C21" s="21" t="s">
        <v>271</v>
      </c>
      <c r="D21" s="22"/>
      <c r="E21" s="15"/>
      <c r="F21" s="16"/>
      <c r="G21" s="359">
        <f>RAB!G115</f>
        <v>29017310.9485</v>
      </c>
    </row>
    <row r="22" spans="2:7" x14ac:dyDescent="0.25">
      <c r="B22" s="368" t="s">
        <v>325</v>
      </c>
      <c r="C22" s="366" t="s">
        <v>326</v>
      </c>
      <c r="D22" s="52"/>
      <c r="E22" s="51"/>
      <c r="F22" s="367"/>
      <c r="G22" s="360">
        <f>RAB!G118</f>
        <v>1540000</v>
      </c>
    </row>
    <row r="23" spans="2:7" x14ac:dyDescent="0.25">
      <c r="B23" s="369"/>
      <c r="C23" s="370"/>
      <c r="D23" s="371"/>
      <c r="E23" s="370"/>
      <c r="F23" s="606" t="s">
        <v>208</v>
      </c>
      <c r="G23" s="607">
        <f>SUM(G11:G22)</f>
        <v>345388975.15193665</v>
      </c>
    </row>
    <row r="24" spans="2:7" ht="15.75" thickBot="1" x14ac:dyDescent="0.3">
      <c r="B24" s="372"/>
      <c r="C24" s="373"/>
      <c r="D24" s="374"/>
      <c r="E24" s="373"/>
      <c r="F24" s="373"/>
      <c r="G24" s="375"/>
    </row>
    <row r="25" spans="2:7" ht="15.75" thickTop="1" x14ac:dyDescent="0.25"/>
    <row r="27" spans="2:7" x14ac:dyDescent="0.25">
      <c r="G27" s="278"/>
    </row>
  </sheetData>
  <mergeCells count="6">
    <mergeCell ref="B2:G2"/>
    <mergeCell ref="C8:F9"/>
    <mergeCell ref="C10:F10"/>
    <mergeCell ref="G8:G9"/>
    <mergeCell ref="B3:G3"/>
    <mergeCell ref="B8:B9"/>
  </mergeCells>
  <printOptions horizontalCentered="1"/>
  <pageMargins left="0.45" right="0.45" top="0.75" bottom="0.75" header="0.3" footer="0.3"/>
  <pageSetup paperSize="9" scale="12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8219E-1458-4202-B4BD-AD377FE3A92B}">
  <dimension ref="B21:T138"/>
  <sheetViews>
    <sheetView showGridLines="0" topLeftCell="A31" zoomScale="90" zoomScaleNormal="90" zoomScaleSheetLayoutView="90" workbookViewId="0">
      <selection activeCell="J141" sqref="J141"/>
    </sheetView>
  </sheetViews>
  <sheetFormatPr defaultRowHeight="15" x14ac:dyDescent="0.25"/>
  <cols>
    <col min="2" max="2" width="5.42578125" customWidth="1"/>
    <col min="3" max="3" width="30.42578125" customWidth="1"/>
    <col min="4" max="4" width="11.28515625" bestFit="1" customWidth="1"/>
    <col min="5" max="5" width="7" style="87" bestFit="1" customWidth="1"/>
    <col min="6" max="6" width="11.140625" bestFit="1" customWidth="1"/>
    <col min="7" max="7" width="14.5703125" bestFit="1" customWidth="1"/>
    <col min="8" max="8" width="15.7109375" bestFit="1" customWidth="1"/>
    <col min="9" max="9" width="12.140625" customWidth="1"/>
    <col min="10" max="20" width="8.28515625" customWidth="1"/>
    <col min="21" max="21" width="1.85546875" customWidth="1"/>
  </cols>
  <sheetData>
    <row r="21" spans="2:20" ht="18.75" x14ac:dyDescent="0.3">
      <c r="B21" s="505" t="s">
        <v>1949</v>
      </c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  <c r="N21" s="505"/>
      <c r="O21" s="505"/>
      <c r="P21" s="505"/>
      <c r="Q21" s="505"/>
      <c r="R21" s="505"/>
      <c r="S21" s="505"/>
      <c r="T21" s="505"/>
    </row>
    <row r="23" spans="2:20" ht="15.75" thickBot="1" x14ac:dyDescent="0.3"/>
    <row r="24" spans="2:20" ht="15.75" thickTop="1" x14ac:dyDescent="0.25">
      <c r="B24" s="515" t="s">
        <v>328</v>
      </c>
      <c r="C24" s="520" t="s">
        <v>329</v>
      </c>
      <c r="D24" s="521"/>
      <c r="E24" s="517" t="s">
        <v>330</v>
      </c>
      <c r="F24" s="517" t="s">
        <v>210</v>
      </c>
      <c r="G24" s="517" t="s">
        <v>331</v>
      </c>
      <c r="H24" s="519"/>
      <c r="I24" s="513" t="s">
        <v>1936</v>
      </c>
      <c r="J24" s="510" t="s">
        <v>1938</v>
      </c>
      <c r="K24" s="511"/>
      <c r="L24" s="511"/>
      <c r="M24" s="511"/>
      <c r="N24" s="511" t="s">
        <v>1944</v>
      </c>
      <c r="O24" s="511"/>
      <c r="P24" s="511"/>
      <c r="Q24" s="511"/>
      <c r="R24" s="511" t="s">
        <v>1945</v>
      </c>
      <c r="S24" s="511"/>
      <c r="T24" s="512"/>
    </row>
    <row r="25" spans="2:20" ht="15.75" thickBot="1" x14ac:dyDescent="0.3">
      <c r="B25" s="516"/>
      <c r="C25" s="522"/>
      <c r="D25" s="523"/>
      <c r="E25" s="518"/>
      <c r="F25" s="518"/>
      <c r="G25" s="435" t="s">
        <v>332</v>
      </c>
      <c r="H25" s="436" t="s">
        <v>333</v>
      </c>
      <c r="I25" s="514"/>
      <c r="J25" s="437" t="s">
        <v>1939</v>
      </c>
      <c r="K25" s="438" t="s">
        <v>1940</v>
      </c>
      <c r="L25" s="438" t="s">
        <v>1941</v>
      </c>
      <c r="M25" s="438" t="s">
        <v>1942</v>
      </c>
      <c r="N25" s="438" t="s">
        <v>1943</v>
      </c>
      <c r="O25" s="438" t="s">
        <v>1940</v>
      </c>
      <c r="P25" s="438" t="s">
        <v>1941</v>
      </c>
      <c r="Q25" s="438" t="s">
        <v>1942</v>
      </c>
      <c r="R25" s="438" t="s">
        <v>1943</v>
      </c>
      <c r="S25" s="438" t="s">
        <v>1940</v>
      </c>
      <c r="T25" s="439" t="s">
        <v>1941</v>
      </c>
    </row>
    <row r="26" spans="2:20" ht="15.75" thickTop="1" x14ac:dyDescent="0.25">
      <c r="B26" s="100" t="s">
        <v>9</v>
      </c>
      <c r="C26" s="364" t="s">
        <v>10</v>
      </c>
      <c r="D26" s="404"/>
      <c r="E26" s="93"/>
      <c r="F26" s="9"/>
      <c r="G26" s="9"/>
      <c r="H26" s="80"/>
      <c r="I26" s="400"/>
      <c r="J26" s="424"/>
      <c r="K26" s="425"/>
      <c r="L26" s="425"/>
      <c r="M26" s="425"/>
      <c r="N26" s="425"/>
      <c r="O26" s="425"/>
      <c r="P26" s="425"/>
      <c r="Q26" s="425"/>
      <c r="R26" s="425"/>
      <c r="S26" s="425"/>
      <c r="T26" s="426"/>
    </row>
    <row r="27" spans="2:20" x14ac:dyDescent="0.25">
      <c r="B27" s="2">
        <v>1</v>
      </c>
      <c r="C27" s="14" t="s">
        <v>288</v>
      </c>
      <c r="D27" s="16"/>
      <c r="E27" s="94" t="s">
        <v>282</v>
      </c>
      <c r="F27" s="3">
        <f>VLOOKUP(C27,RekapVolume,3,FALSE)</f>
        <v>200</v>
      </c>
      <c r="G27" s="344">
        <f>HSP!G17</f>
        <v>23100</v>
      </c>
      <c r="H27" s="394">
        <f>F27*G27</f>
        <v>4620000</v>
      </c>
      <c r="I27" s="398">
        <f>H27/$H$136*100</f>
        <v>1.3376223134996308</v>
      </c>
      <c r="J27" s="428">
        <f>I27</f>
        <v>1.3376223134996308</v>
      </c>
      <c r="K27" s="3"/>
      <c r="L27" s="3"/>
      <c r="M27" s="3"/>
      <c r="N27" s="3"/>
      <c r="O27" s="3"/>
      <c r="P27" s="3"/>
      <c r="Q27" s="3"/>
      <c r="R27" s="3"/>
      <c r="S27" s="3"/>
      <c r="T27" s="4"/>
    </row>
    <row r="28" spans="2:20" x14ac:dyDescent="0.25">
      <c r="B28" s="2">
        <v>2</v>
      </c>
      <c r="C28" s="14" t="s">
        <v>12</v>
      </c>
      <c r="D28" s="16"/>
      <c r="E28" s="94" t="s">
        <v>289</v>
      </c>
      <c r="F28" s="3">
        <f>VLOOKUP(C28,RekapVolume,3,FALSE)</f>
        <v>36</v>
      </c>
      <c r="G28" s="344">
        <f>HSP!G13</f>
        <v>92990</v>
      </c>
      <c r="H28" s="394">
        <f t="shared" ref="H28:H30" si="0">F28*G28</f>
        <v>3347640</v>
      </c>
      <c r="I28" s="398">
        <f t="shared" ref="I28:I30" si="1">H28/$H$136*100</f>
        <v>0.96923765401816109</v>
      </c>
      <c r="J28" s="428">
        <f>I28</f>
        <v>0.96923765401816109</v>
      </c>
      <c r="K28" s="3"/>
      <c r="L28" s="3"/>
      <c r="M28" s="3"/>
      <c r="N28" s="3"/>
      <c r="O28" s="3"/>
      <c r="P28" s="3"/>
      <c r="Q28" s="3"/>
      <c r="R28" s="3"/>
      <c r="S28" s="3"/>
      <c r="T28" s="4"/>
    </row>
    <row r="29" spans="2:20" x14ac:dyDescent="0.25">
      <c r="B29" s="2">
        <v>3</v>
      </c>
      <c r="C29" s="14" t="s">
        <v>13</v>
      </c>
      <c r="D29" s="16"/>
      <c r="E29" s="94" t="s">
        <v>7</v>
      </c>
      <c r="F29" s="3">
        <f>VLOOKUP(C29,RekapVolume,3,FALSE)</f>
        <v>1</v>
      </c>
      <c r="G29" s="3">
        <v>500000</v>
      </c>
      <c r="H29" s="394">
        <f t="shared" si="0"/>
        <v>500000</v>
      </c>
      <c r="I29" s="398">
        <f t="shared" si="1"/>
        <v>0.14476431964281719</v>
      </c>
      <c r="J29" s="429">
        <f>$I$29/3</f>
        <v>4.8254773214272399E-2</v>
      </c>
      <c r="K29" s="3"/>
      <c r="L29" s="3"/>
      <c r="M29" s="3"/>
      <c r="N29" s="431">
        <f>$I$29/3</f>
        <v>4.8254773214272399E-2</v>
      </c>
      <c r="O29" s="3"/>
      <c r="P29" s="3"/>
      <c r="Q29" s="3"/>
      <c r="R29" s="431">
        <f>$I$29/3</f>
        <v>4.8254773214272399E-2</v>
      </c>
      <c r="S29" s="3"/>
      <c r="T29" s="4"/>
    </row>
    <row r="30" spans="2:20" x14ac:dyDescent="0.25">
      <c r="B30" s="2">
        <v>4</v>
      </c>
      <c r="C30" s="14" t="s">
        <v>290</v>
      </c>
      <c r="D30" s="16"/>
      <c r="E30" s="94" t="s">
        <v>7</v>
      </c>
      <c r="F30" s="3">
        <f>VLOOKUP(C30,RekapVolume,3,FALSE)</f>
        <v>1</v>
      </c>
      <c r="G30" s="96">
        <v>500000</v>
      </c>
      <c r="H30" s="395">
        <f t="shared" si="0"/>
        <v>500000</v>
      </c>
      <c r="I30" s="401">
        <f t="shared" si="1"/>
        <v>0.14476431964281719</v>
      </c>
      <c r="J30" s="429">
        <f>$I$30/4</f>
        <v>3.6191079910704298E-2</v>
      </c>
      <c r="K30" s="3"/>
      <c r="L30" s="3"/>
      <c r="M30" s="3"/>
      <c r="N30" s="431">
        <f>$I$30/4</f>
        <v>3.6191079910704298E-2</v>
      </c>
      <c r="O30" s="416"/>
      <c r="P30" s="3"/>
      <c r="Q30" s="3"/>
      <c r="R30" s="431">
        <f>$I$30/4</f>
        <v>3.6191079910704298E-2</v>
      </c>
      <c r="S30" s="416"/>
      <c r="T30" s="432">
        <f>$I$30/4</f>
        <v>3.6191079910704298E-2</v>
      </c>
    </row>
    <row r="31" spans="2:20" x14ac:dyDescent="0.25">
      <c r="B31" s="2"/>
      <c r="C31" s="14"/>
      <c r="D31" s="16"/>
      <c r="E31" s="94"/>
      <c r="F31" s="3"/>
      <c r="G31" s="98" t="s">
        <v>334</v>
      </c>
      <c r="H31" s="396">
        <f>SUM(H27:H30)</f>
        <v>8967640</v>
      </c>
      <c r="I31" s="402">
        <f>SUM(I27:I30)</f>
        <v>2.5963886068034259</v>
      </c>
      <c r="J31" s="2"/>
      <c r="K31" s="3"/>
      <c r="L31" s="3"/>
      <c r="M31" s="3"/>
      <c r="N31" s="3"/>
      <c r="O31" s="3"/>
      <c r="P31" s="3"/>
      <c r="Q31" s="3"/>
      <c r="R31" s="3"/>
      <c r="S31" s="3"/>
      <c r="T31" s="4"/>
    </row>
    <row r="32" spans="2:20" x14ac:dyDescent="0.25">
      <c r="B32" s="99" t="s">
        <v>23</v>
      </c>
      <c r="C32" s="21" t="s">
        <v>291</v>
      </c>
      <c r="D32" s="405"/>
      <c r="E32" s="94"/>
      <c r="F32" s="3"/>
      <c r="G32" s="3"/>
      <c r="H32" s="14"/>
      <c r="I32" s="398"/>
      <c r="J32" s="2"/>
      <c r="K32" s="3"/>
      <c r="L32" s="3"/>
      <c r="M32" s="3"/>
      <c r="N32" s="3"/>
      <c r="O32" s="3"/>
      <c r="P32" s="3"/>
      <c r="Q32" s="3"/>
      <c r="R32" s="3"/>
      <c r="S32" s="3"/>
      <c r="T32" s="4"/>
    </row>
    <row r="33" spans="2:20" x14ac:dyDescent="0.25">
      <c r="B33" s="2">
        <v>1</v>
      </c>
      <c r="C33" s="14" t="s">
        <v>25</v>
      </c>
      <c r="D33" s="16"/>
      <c r="E33" s="94" t="s">
        <v>283</v>
      </c>
      <c r="F33" s="3">
        <f>VLOOKUP(C33,RekapVolume,3,FALSE)</f>
        <v>30.712500000000006</v>
      </c>
      <c r="G33" s="344">
        <f>HSP!G28</f>
        <v>107800</v>
      </c>
      <c r="H33" s="394">
        <f t="shared" ref="H33:H36" si="2">F33*G33</f>
        <v>3310807.5000000005</v>
      </c>
      <c r="I33" s="398">
        <f t="shared" ref="I33:I36" si="3">H33/$H$136*100</f>
        <v>0.95857359041167312</v>
      </c>
      <c r="J33" s="428">
        <f>$I$33/2</f>
        <v>0.47928679520583656</v>
      </c>
      <c r="K33" s="430">
        <f>$I$33/2</f>
        <v>0.47928679520583656</v>
      </c>
      <c r="L33" s="3"/>
      <c r="M33" s="3"/>
      <c r="N33" s="3"/>
      <c r="O33" s="3"/>
      <c r="P33" s="3"/>
      <c r="Q33" s="3"/>
      <c r="R33" s="3"/>
      <c r="S33" s="3"/>
      <c r="T33" s="4"/>
    </row>
    <row r="34" spans="2:20" x14ac:dyDescent="0.25">
      <c r="B34" s="2">
        <v>2</v>
      </c>
      <c r="C34" s="14" t="s">
        <v>33</v>
      </c>
      <c r="D34" s="16"/>
      <c r="E34" s="94" t="s">
        <v>283</v>
      </c>
      <c r="F34" s="3">
        <f>VLOOKUP(C34,RekapVolume,3,FALSE)</f>
        <v>26.878125000000004</v>
      </c>
      <c r="G34" s="344">
        <f>HSP!G36</f>
        <v>39050</v>
      </c>
      <c r="H34" s="394">
        <f t="shared" si="2"/>
        <v>1049590.7812500002</v>
      </c>
      <c r="I34" s="398">
        <f t="shared" si="3"/>
        <v>0.30388659070205848</v>
      </c>
      <c r="J34" s="2"/>
      <c r="K34" s="3"/>
      <c r="L34" s="430">
        <f>I34</f>
        <v>0.30388659070205848</v>
      </c>
      <c r="M34" s="3"/>
      <c r="N34" s="3"/>
      <c r="O34" s="3"/>
      <c r="P34" s="3"/>
      <c r="Q34" s="3"/>
      <c r="R34" s="3"/>
      <c r="S34" s="3"/>
      <c r="T34" s="4"/>
    </row>
    <row r="35" spans="2:20" x14ac:dyDescent="0.25">
      <c r="B35" s="2">
        <v>3</v>
      </c>
      <c r="C35" s="14" t="s">
        <v>35</v>
      </c>
      <c r="D35" s="16"/>
      <c r="E35" s="94" t="s">
        <v>283</v>
      </c>
      <c r="F35" s="3">
        <f>VLOOKUP(C35,RekapVolume,3,FALSE)</f>
        <v>2.0250000000000004</v>
      </c>
      <c r="G35" s="344">
        <f>HSP!G38</f>
        <v>440426</v>
      </c>
      <c r="H35" s="394">
        <f t="shared" si="2"/>
        <v>891862.65000000014</v>
      </c>
      <c r="I35" s="398">
        <f t="shared" si="3"/>
        <v>0.25821977948418001</v>
      </c>
      <c r="J35" s="2"/>
      <c r="K35" s="3"/>
      <c r="L35" s="430">
        <f>I35</f>
        <v>0.25821977948418001</v>
      </c>
      <c r="M35" s="3"/>
      <c r="N35" s="3"/>
      <c r="O35" s="3"/>
      <c r="P35" s="3"/>
      <c r="Q35" s="3"/>
      <c r="R35" s="3"/>
      <c r="S35" s="3"/>
      <c r="T35" s="4"/>
    </row>
    <row r="36" spans="2:20" x14ac:dyDescent="0.25">
      <c r="B36" s="2">
        <v>4</v>
      </c>
      <c r="C36" s="14" t="s">
        <v>292</v>
      </c>
      <c r="D36" s="16"/>
      <c r="E36" s="94" t="s">
        <v>283</v>
      </c>
      <c r="F36" s="3">
        <f>VLOOKUP(C36,RekapVolume,3,FALSE)</f>
        <v>4.8000000000000007</v>
      </c>
      <c r="G36" s="362">
        <f>HSP!G38</f>
        <v>440426</v>
      </c>
      <c r="H36" s="395">
        <f t="shared" si="2"/>
        <v>2114044.8000000003</v>
      </c>
      <c r="I36" s="401">
        <f t="shared" si="3"/>
        <v>0.61207651433287114</v>
      </c>
      <c r="J36" s="2"/>
      <c r="K36" s="3"/>
      <c r="L36" s="430">
        <f>I36</f>
        <v>0.61207651433287114</v>
      </c>
      <c r="M36" s="3"/>
      <c r="N36" s="3"/>
      <c r="O36" s="3"/>
      <c r="P36" s="3"/>
      <c r="Q36" s="3"/>
      <c r="R36" s="3"/>
      <c r="S36" s="3"/>
      <c r="T36" s="4"/>
    </row>
    <row r="37" spans="2:20" x14ac:dyDescent="0.25">
      <c r="B37" s="2"/>
      <c r="C37" s="14"/>
      <c r="D37" s="16"/>
      <c r="E37" s="94"/>
      <c r="F37" s="3"/>
      <c r="G37" s="98" t="s">
        <v>335</v>
      </c>
      <c r="H37" s="396">
        <f>SUM(H33:H36)</f>
        <v>7366305.7312500011</v>
      </c>
      <c r="I37" s="402">
        <f>SUM(I33:I36)</f>
        <v>2.1327564749307828</v>
      </c>
      <c r="J37" s="2"/>
      <c r="K37" s="3"/>
      <c r="L37" s="3"/>
      <c r="M37" s="3"/>
      <c r="N37" s="3"/>
      <c r="O37" s="3"/>
      <c r="P37" s="3"/>
      <c r="Q37" s="3"/>
      <c r="R37" s="3"/>
      <c r="S37" s="3"/>
      <c r="T37" s="4"/>
    </row>
    <row r="38" spans="2:20" x14ac:dyDescent="0.25">
      <c r="B38" s="99" t="s">
        <v>52</v>
      </c>
      <c r="C38" s="21" t="s">
        <v>293</v>
      </c>
      <c r="D38" s="405"/>
      <c r="E38" s="94"/>
      <c r="F38" s="3"/>
      <c r="G38" s="3"/>
      <c r="H38" s="14"/>
      <c r="I38" s="398"/>
      <c r="J38" s="2"/>
      <c r="K38" s="3"/>
      <c r="L38" s="3"/>
      <c r="M38" s="3"/>
      <c r="N38" s="3"/>
      <c r="O38" s="3"/>
      <c r="P38" s="3"/>
      <c r="Q38" s="3"/>
      <c r="R38" s="3"/>
      <c r="S38" s="3"/>
      <c r="T38" s="4"/>
    </row>
    <row r="39" spans="2:20" x14ac:dyDescent="0.25">
      <c r="B39" s="2">
        <v>1</v>
      </c>
      <c r="C39" s="14" t="s">
        <v>294</v>
      </c>
      <c r="D39" s="16"/>
      <c r="E39" s="94" t="s">
        <v>283</v>
      </c>
      <c r="F39" s="3">
        <f>VLOOKUP(C39,RekapVolume,3,FALSE)</f>
        <v>6.0750000000000002</v>
      </c>
      <c r="G39" s="344">
        <f>HSP!G52</f>
        <v>885381</v>
      </c>
      <c r="H39" s="394">
        <f t="shared" ref="H39:H43" si="4">F39*G39</f>
        <v>5378689.5750000002</v>
      </c>
      <c r="I39" s="398">
        <f t="shared" ref="I39:I43" si="5">H39/$H$136*100</f>
        <v>1.5572846737895771</v>
      </c>
      <c r="J39" s="429">
        <f>$I$39/2</f>
        <v>0.77864233689478857</v>
      </c>
      <c r="K39" s="431">
        <f>$I$39/2</f>
        <v>0.77864233689478857</v>
      </c>
      <c r="L39" s="3"/>
      <c r="M39" s="3"/>
      <c r="N39" s="3"/>
      <c r="O39" s="3"/>
      <c r="P39" s="3"/>
      <c r="Q39" s="3"/>
      <c r="R39" s="3"/>
      <c r="S39" s="3"/>
      <c r="T39" s="4"/>
    </row>
    <row r="40" spans="2:20" x14ac:dyDescent="0.25">
      <c r="B40" s="2">
        <v>2</v>
      </c>
      <c r="C40" s="14" t="s">
        <v>62</v>
      </c>
      <c r="D40" s="16"/>
      <c r="E40" s="94" t="s">
        <v>283</v>
      </c>
      <c r="F40" s="3">
        <f>VLOOKUP(C40,RekapVolume,3,FALSE)</f>
        <v>18</v>
      </c>
      <c r="G40" s="344">
        <f>HSP!G44</f>
        <v>1467001</v>
      </c>
      <c r="H40" s="394">
        <f t="shared" si="4"/>
        <v>26406018</v>
      </c>
      <c r="I40" s="398">
        <f t="shared" si="5"/>
        <v>7.6452984604919685</v>
      </c>
      <c r="J40" s="2"/>
      <c r="K40" s="431">
        <v>0.5</v>
      </c>
      <c r="L40" s="431">
        <f>$I$40/3</f>
        <v>2.5484328201639896</v>
      </c>
      <c r="M40" s="431">
        <f>$I$40/3</f>
        <v>2.5484328201639896</v>
      </c>
      <c r="N40" s="433">
        <v>2.04</v>
      </c>
      <c r="O40" s="3"/>
      <c r="P40" s="3"/>
      <c r="Q40" s="3"/>
      <c r="R40" s="3"/>
      <c r="S40" s="3"/>
      <c r="T40" s="4"/>
    </row>
    <row r="41" spans="2:20" x14ac:dyDescent="0.25">
      <c r="B41" s="2">
        <v>3</v>
      </c>
      <c r="C41" s="14" t="s">
        <v>78</v>
      </c>
      <c r="D41" s="16"/>
      <c r="E41" s="94" t="s">
        <v>282</v>
      </c>
      <c r="F41" s="3">
        <f>VLOOKUP(C41,RekapVolume,3,FALSE)</f>
        <v>160.405</v>
      </c>
      <c r="G41" s="344">
        <f>HSP!G157</f>
        <v>178223</v>
      </c>
      <c r="H41" s="394">
        <f t="shared" si="4"/>
        <v>28587860.315000001</v>
      </c>
      <c r="I41" s="398">
        <f t="shared" si="5"/>
        <v>8.2770042970897375</v>
      </c>
      <c r="J41" s="2"/>
      <c r="K41" s="3"/>
      <c r="L41" s="431">
        <f t="shared" ref="L41:M41" si="6">$I$41/3</f>
        <v>2.7590014323632457</v>
      </c>
      <c r="M41" s="431">
        <f t="shared" si="6"/>
        <v>2.7590014323632457</v>
      </c>
      <c r="N41" s="431">
        <f>$I$41/3</f>
        <v>2.7590014323632457</v>
      </c>
      <c r="O41" s="3"/>
      <c r="P41" s="3"/>
      <c r="Q41" s="3"/>
      <c r="R41" s="3"/>
      <c r="S41" s="3"/>
      <c r="T41" s="4"/>
    </row>
    <row r="42" spans="2:20" x14ac:dyDescent="0.25">
      <c r="B42" s="2">
        <v>4</v>
      </c>
      <c r="C42" s="14" t="s">
        <v>347</v>
      </c>
      <c r="D42" s="16"/>
      <c r="E42" s="94" t="s">
        <v>282</v>
      </c>
      <c r="F42" s="3">
        <f>VLOOKUP(C42,RekapVolume,3,FALSE)</f>
        <v>320.81</v>
      </c>
      <c r="G42" s="344">
        <f>HSP!G181</f>
        <v>89498</v>
      </c>
      <c r="H42" s="394">
        <f t="shared" si="4"/>
        <v>28711853.379999999</v>
      </c>
      <c r="I42" s="398">
        <f t="shared" si="5"/>
        <v>8.3129038404800415</v>
      </c>
      <c r="J42" s="2"/>
      <c r="K42" s="3"/>
      <c r="L42" s="3"/>
      <c r="M42" s="431">
        <f>$I$42/3</f>
        <v>2.7709679468266804</v>
      </c>
      <c r="N42" s="431">
        <f t="shared" ref="N42:O42" si="7">$I$42/3</f>
        <v>2.7709679468266804</v>
      </c>
      <c r="O42" s="431">
        <f t="shared" si="7"/>
        <v>2.7709679468266804</v>
      </c>
      <c r="P42" s="3"/>
      <c r="Q42" s="3"/>
      <c r="R42" s="3"/>
      <c r="S42" s="3"/>
      <c r="T42" s="4"/>
    </row>
    <row r="43" spans="2:20" x14ac:dyDescent="0.25">
      <c r="B43" s="2">
        <v>5</v>
      </c>
      <c r="C43" s="14" t="s">
        <v>348</v>
      </c>
      <c r="D43" s="16"/>
      <c r="E43" s="94" t="s">
        <v>282</v>
      </c>
      <c r="F43" s="3">
        <f>VLOOKUP(C43,RekapVolume,3,FALSE)</f>
        <v>320.81</v>
      </c>
      <c r="G43" s="362">
        <f>HSP!G203</f>
        <v>54406</v>
      </c>
      <c r="H43" s="395">
        <f t="shared" si="4"/>
        <v>17453988.859999999</v>
      </c>
      <c r="I43" s="401">
        <f t="shared" si="5"/>
        <v>5.0534296447424207</v>
      </c>
      <c r="J43" s="2"/>
      <c r="K43" s="3"/>
      <c r="L43" s="3"/>
      <c r="M43" s="3"/>
      <c r="N43" s="3"/>
      <c r="O43" s="431">
        <f>$I$43/2</f>
        <v>2.5267148223712104</v>
      </c>
      <c r="P43" s="431">
        <f>$I$43/2</f>
        <v>2.5267148223712104</v>
      </c>
      <c r="Q43" s="3"/>
      <c r="R43" s="3"/>
      <c r="S43" s="3"/>
      <c r="T43" s="4"/>
    </row>
    <row r="44" spans="2:20" x14ac:dyDescent="0.25">
      <c r="B44" s="2"/>
      <c r="C44" s="14"/>
      <c r="D44" s="16"/>
      <c r="E44" s="94"/>
      <c r="F44" s="3"/>
      <c r="G44" s="98" t="s">
        <v>336</v>
      </c>
      <c r="H44" s="396">
        <f>SUM(H39:H43)</f>
        <v>106538410.13</v>
      </c>
      <c r="I44" s="402">
        <f>SUM(I39:I43)</f>
        <v>30.845920916593748</v>
      </c>
      <c r="J44" s="2"/>
      <c r="K44" s="3"/>
      <c r="L44" s="3"/>
      <c r="M44" s="3"/>
      <c r="N44" s="3"/>
      <c r="O44" s="3"/>
      <c r="P44" s="3"/>
      <c r="Q44" s="3"/>
      <c r="R44" s="3"/>
      <c r="S44" s="3"/>
      <c r="T44" s="4"/>
    </row>
    <row r="45" spans="2:20" x14ac:dyDescent="0.25">
      <c r="B45" s="99" t="s">
        <v>121</v>
      </c>
      <c r="C45" s="21" t="s">
        <v>122</v>
      </c>
      <c r="D45" s="405"/>
      <c r="E45" s="94"/>
      <c r="F45" s="3"/>
      <c r="G45" s="3"/>
      <c r="H45" s="14"/>
      <c r="I45" s="398"/>
      <c r="J45" s="2"/>
      <c r="K45" s="3"/>
      <c r="L45" s="3"/>
      <c r="M45" s="3"/>
      <c r="N45" s="3"/>
      <c r="O45" s="3"/>
      <c r="P45" s="3"/>
      <c r="Q45" s="3"/>
      <c r="R45" s="3"/>
      <c r="S45" s="3"/>
      <c r="T45" s="4"/>
    </row>
    <row r="46" spans="2:20" x14ac:dyDescent="0.25">
      <c r="B46" s="2">
        <v>1</v>
      </c>
      <c r="C46" s="14" t="s">
        <v>1875</v>
      </c>
      <c r="D46" s="16"/>
      <c r="E46" s="94"/>
      <c r="F46" s="3"/>
      <c r="G46" s="3"/>
      <c r="H46" s="14"/>
      <c r="I46" s="398"/>
      <c r="J46" s="2"/>
      <c r="K46" s="3"/>
      <c r="L46" s="3"/>
      <c r="M46" s="3"/>
      <c r="N46" s="3"/>
      <c r="O46" s="3"/>
      <c r="P46" s="3"/>
      <c r="Q46" s="3"/>
      <c r="R46" s="3"/>
      <c r="S46" s="3"/>
      <c r="T46" s="4"/>
    </row>
    <row r="47" spans="2:20" x14ac:dyDescent="0.25">
      <c r="B47" s="2"/>
      <c r="C47" s="14" t="s">
        <v>1876</v>
      </c>
      <c r="D47" s="16"/>
      <c r="E47" s="94" t="s">
        <v>159</v>
      </c>
      <c r="F47" s="358">
        <f>'Rekap Volume'!E29</f>
        <v>189.58125000000001</v>
      </c>
      <c r="G47" s="344">
        <f>HSP!G74/10</f>
        <v>17691.7</v>
      </c>
      <c r="H47" s="394">
        <f t="shared" ref="H47:H65" si="8">F47*G47</f>
        <v>3354014.6006250004</v>
      </c>
      <c r="I47" s="398">
        <f t="shared" ref="I47:I65" si="9">H47/$H$136*100</f>
        <v>0.97108328346310679</v>
      </c>
      <c r="J47" s="2"/>
      <c r="K47" s="430">
        <f>I47</f>
        <v>0.97108328346310679</v>
      </c>
      <c r="L47" s="3"/>
      <c r="M47" s="3"/>
      <c r="N47" s="3"/>
      <c r="O47" s="3"/>
      <c r="P47" s="3"/>
      <c r="Q47" s="3"/>
      <c r="R47" s="3"/>
      <c r="S47" s="3"/>
      <c r="T47" s="4"/>
    </row>
    <row r="48" spans="2:20" x14ac:dyDescent="0.25">
      <c r="B48" s="2"/>
      <c r="C48" s="14" t="s">
        <v>1877</v>
      </c>
      <c r="D48" s="16"/>
      <c r="E48" s="94" t="s">
        <v>282</v>
      </c>
      <c r="F48" s="358">
        <f>'Rekap Volume'!E30</f>
        <v>22.5</v>
      </c>
      <c r="G48" s="344">
        <f>HSP!G78</f>
        <v>356765</v>
      </c>
      <c r="H48" s="394">
        <f t="shared" si="8"/>
        <v>8027212.5</v>
      </c>
      <c r="I48" s="398">
        <f t="shared" si="9"/>
        <v>2.3241079123816353</v>
      </c>
      <c r="J48" s="2"/>
      <c r="K48" s="430">
        <v>0.5</v>
      </c>
      <c r="L48" s="430">
        <f>$I$48/2</f>
        <v>1.1620539561908176</v>
      </c>
      <c r="M48" s="433">
        <v>0.65</v>
      </c>
      <c r="N48" s="3"/>
      <c r="O48" s="3"/>
      <c r="P48" s="3"/>
      <c r="Q48" s="3"/>
      <c r="R48" s="3"/>
      <c r="S48" s="3"/>
      <c r="T48" s="4"/>
    </row>
    <row r="49" spans="2:20" x14ac:dyDescent="0.25">
      <c r="B49" s="2"/>
      <c r="C49" s="14" t="s">
        <v>1878</v>
      </c>
      <c r="D49" s="16"/>
      <c r="E49" s="94" t="s">
        <v>283</v>
      </c>
      <c r="F49" s="358">
        <f>'Rekap Volume'!E31</f>
        <v>2.25</v>
      </c>
      <c r="G49" s="344">
        <f>HSP!G64</f>
        <v>1802958</v>
      </c>
      <c r="H49" s="394">
        <f t="shared" si="8"/>
        <v>4056655.5</v>
      </c>
      <c r="I49" s="398">
        <f t="shared" si="9"/>
        <v>1.1745179469655846</v>
      </c>
      <c r="J49" s="2"/>
      <c r="K49" s="430">
        <f>$I$49/2</f>
        <v>0.58725897348279232</v>
      </c>
      <c r="L49" s="430">
        <f>$I$49/2</f>
        <v>0.58725897348279232</v>
      </c>
      <c r="M49" s="3"/>
      <c r="N49" s="3"/>
      <c r="O49" s="3"/>
      <c r="P49" s="3"/>
      <c r="Q49" s="3"/>
      <c r="R49" s="3"/>
      <c r="S49" s="3"/>
      <c r="T49" s="4"/>
    </row>
    <row r="50" spans="2:20" x14ac:dyDescent="0.25">
      <c r="B50" s="2">
        <v>2</v>
      </c>
      <c r="C50" s="14" t="s">
        <v>1879</v>
      </c>
      <c r="D50" s="16"/>
      <c r="E50" s="94"/>
      <c r="F50" s="3"/>
      <c r="G50" s="3"/>
      <c r="H50" s="394"/>
      <c r="I50" s="398"/>
      <c r="J50" s="2"/>
      <c r="K50" s="3"/>
      <c r="L50" s="3"/>
      <c r="M50" s="3"/>
      <c r="N50" s="3"/>
      <c r="O50" s="3"/>
      <c r="P50" s="3"/>
      <c r="Q50" s="3"/>
      <c r="R50" s="3"/>
      <c r="S50" s="3"/>
      <c r="T50" s="4"/>
    </row>
    <row r="51" spans="2:20" x14ac:dyDescent="0.25">
      <c r="B51" s="2"/>
      <c r="C51" s="14" t="s">
        <v>1876</v>
      </c>
      <c r="D51" s="16"/>
      <c r="E51" s="94" t="s">
        <v>159</v>
      </c>
      <c r="F51" s="358">
        <f>'Rekap Volume'!E33</f>
        <v>156.42833333333334</v>
      </c>
      <c r="G51" s="344">
        <f>HSP!G74/10</f>
        <v>17691.7</v>
      </c>
      <c r="H51" s="394">
        <f t="shared" si="8"/>
        <v>2767483.1448333338</v>
      </c>
      <c r="I51" s="398">
        <f t="shared" si="9"/>
        <v>0.80126562916952337</v>
      </c>
      <c r="J51" s="2"/>
      <c r="K51" s="431">
        <f>$I$51/3</f>
        <v>0.26708854305650781</v>
      </c>
      <c r="L51" s="431">
        <f t="shared" ref="L51:M51" si="10">$I$51/3</f>
        <v>0.26708854305650781</v>
      </c>
      <c r="M51" s="431">
        <f t="shared" si="10"/>
        <v>0.26708854305650781</v>
      </c>
      <c r="N51" s="3"/>
      <c r="O51" s="3"/>
      <c r="P51" s="3"/>
      <c r="Q51" s="3"/>
      <c r="R51" s="3"/>
      <c r="S51" s="3"/>
      <c r="T51" s="4"/>
    </row>
    <row r="52" spans="2:20" x14ac:dyDescent="0.25">
      <c r="B52" s="2"/>
      <c r="C52" s="14" t="s">
        <v>1877</v>
      </c>
      <c r="D52" s="16"/>
      <c r="E52" s="94" t="s">
        <v>282</v>
      </c>
      <c r="F52" s="358">
        <f>'Rekap Volume'!E34</f>
        <v>20.399999999999999</v>
      </c>
      <c r="G52" s="344">
        <f>HSP!G78</f>
        <v>356765</v>
      </c>
      <c r="H52" s="394">
        <f t="shared" si="8"/>
        <v>7278005.9999999991</v>
      </c>
      <c r="I52" s="398">
        <f t="shared" si="9"/>
        <v>2.1071911738926823</v>
      </c>
      <c r="J52" s="2"/>
      <c r="K52" s="431">
        <f>$I$52/3</f>
        <v>0.70239705796422747</v>
      </c>
      <c r="L52" s="431">
        <f t="shared" ref="L52:M52" si="11">$I$52/3</f>
        <v>0.70239705796422747</v>
      </c>
      <c r="M52" s="431">
        <f t="shared" si="11"/>
        <v>0.70239705796422747</v>
      </c>
      <c r="N52" s="3"/>
      <c r="O52" s="3"/>
      <c r="P52" s="3"/>
      <c r="Q52" s="3"/>
      <c r="R52" s="3"/>
      <c r="S52" s="3"/>
      <c r="T52" s="4"/>
    </row>
    <row r="53" spans="2:20" x14ac:dyDescent="0.25">
      <c r="B53" s="2"/>
      <c r="C53" s="14" t="s">
        <v>1878</v>
      </c>
      <c r="D53" s="16"/>
      <c r="E53" s="94" t="s">
        <v>283</v>
      </c>
      <c r="F53" s="358">
        <f>'Rekap Volume'!E35</f>
        <v>1.0125</v>
      </c>
      <c r="G53" s="344">
        <f>HSP!G64</f>
        <v>1802958</v>
      </c>
      <c r="H53" s="394">
        <f t="shared" si="8"/>
        <v>1825494.9749999999</v>
      </c>
      <c r="I53" s="398">
        <f t="shared" si="9"/>
        <v>0.52853307613451306</v>
      </c>
      <c r="J53" s="2"/>
      <c r="K53" s="431">
        <f>$I$53/3</f>
        <v>0.17617769204483769</v>
      </c>
      <c r="L53" s="431">
        <f t="shared" ref="L53:M53" si="12">$I$53/3</f>
        <v>0.17617769204483769</v>
      </c>
      <c r="M53" s="431">
        <f t="shared" si="12"/>
        <v>0.17617769204483769</v>
      </c>
      <c r="N53" s="3"/>
      <c r="O53" s="3"/>
      <c r="P53" s="3"/>
      <c r="Q53" s="3"/>
      <c r="R53" s="3"/>
      <c r="S53" s="3"/>
      <c r="T53" s="4"/>
    </row>
    <row r="54" spans="2:20" x14ac:dyDescent="0.25">
      <c r="B54" s="2">
        <v>3</v>
      </c>
      <c r="C54" s="14" t="s">
        <v>1880</v>
      </c>
      <c r="D54" s="16"/>
      <c r="E54" s="94"/>
      <c r="F54" s="3"/>
      <c r="G54" s="3"/>
      <c r="H54" s="394"/>
      <c r="I54" s="398"/>
      <c r="J54" s="2"/>
      <c r="K54" s="3"/>
      <c r="L54" s="3"/>
      <c r="M54" s="3"/>
      <c r="N54" s="3"/>
      <c r="O54" s="3"/>
      <c r="P54" s="3"/>
      <c r="Q54" s="3"/>
      <c r="R54" s="3"/>
      <c r="S54" s="3"/>
      <c r="T54" s="4"/>
    </row>
    <row r="55" spans="2:20" x14ac:dyDescent="0.25">
      <c r="B55" s="2"/>
      <c r="C55" s="14" t="s">
        <v>1876</v>
      </c>
      <c r="D55" s="16"/>
      <c r="E55" s="94" t="s">
        <v>159</v>
      </c>
      <c r="F55" s="358">
        <f>'Rekap Volume'!E37</f>
        <v>103.51875000000001</v>
      </c>
      <c r="G55" s="344">
        <f>HSP!G74/10</f>
        <v>17691.7</v>
      </c>
      <c r="H55" s="394">
        <f t="shared" si="8"/>
        <v>1831422.6693750003</v>
      </c>
      <c r="I55" s="398">
        <f t="shared" si="9"/>
        <v>0.53024931342100812</v>
      </c>
      <c r="J55" s="2"/>
      <c r="K55" s="3"/>
      <c r="L55" s="3"/>
      <c r="M55" s="3"/>
      <c r="N55" s="3"/>
      <c r="O55" s="430">
        <f>I55</f>
        <v>0.53024931342100812</v>
      </c>
      <c r="P55" s="3"/>
      <c r="Q55" s="3"/>
      <c r="R55" s="3"/>
      <c r="S55" s="3"/>
      <c r="T55" s="4"/>
    </row>
    <row r="56" spans="2:20" x14ac:dyDescent="0.25">
      <c r="B56" s="2"/>
      <c r="C56" s="14" t="s">
        <v>1877</v>
      </c>
      <c r="D56" s="16"/>
      <c r="E56" s="94" t="s">
        <v>282</v>
      </c>
      <c r="F56" s="358">
        <f>'Rekap Volume'!E38</f>
        <v>13.5</v>
      </c>
      <c r="G56" s="344">
        <f>HSP!G78</f>
        <v>356765</v>
      </c>
      <c r="H56" s="394">
        <f t="shared" si="8"/>
        <v>4816327.5</v>
      </c>
      <c r="I56" s="398">
        <f t="shared" si="9"/>
        <v>1.3944647474289811</v>
      </c>
      <c r="J56" s="2"/>
      <c r="K56" s="3"/>
      <c r="L56" s="3"/>
      <c r="M56" s="3"/>
      <c r="N56" s="3"/>
      <c r="O56" s="417">
        <f>I56</f>
        <v>1.3944647474289811</v>
      </c>
      <c r="P56" s="3"/>
      <c r="Q56" s="3"/>
      <c r="R56" s="3"/>
      <c r="S56" s="3"/>
      <c r="T56" s="4"/>
    </row>
    <row r="57" spans="2:20" x14ac:dyDescent="0.25">
      <c r="B57" s="2"/>
      <c r="C57" s="14" t="s">
        <v>1878</v>
      </c>
      <c r="D57" s="16"/>
      <c r="E57" s="94" t="s">
        <v>283</v>
      </c>
      <c r="F57" s="358">
        <f>'Rekap Volume'!E39</f>
        <v>1.0125</v>
      </c>
      <c r="G57" s="344">
        <f>HSP!G64</f>
        <v>1802958</v>
      </c>
      <c r="H57" s="394">
        <f t="shared" si="8"/>
        <v>1825494.9749999999</v>
      </c>
      <c r="I57" s="398">
        <f t="shared" si="9"/>
        <v>0.52853307613451306</v>
      </c>
      <c r="J57" s="2"/>
      <c r="K57" s="3"/>
      <c r="L57" s="3"/>
      <c r="M57" s="3"/>
      <c r="N57" s="3"/>
      <c r="O57" s="430">
        <f>I57</f>
        <v>0.52853307613451306</v>
      </c>
      <c r="P57" s="3"/>
      <c r="Q57" s="3"/>
      <c r="R57" s="3"/>
      <c r="S57" s="3"/>
      <c r="T57" s="4"/>
    </row>
    <row r="58" spans="2:20" x14ac:dyDescent="0.25">
      <c r="B58" s="2">
        <v>4</v>
      </c>
      <c r="C58" s="14" t="s">
        <v>169</v>
      </c>
      <c r="D58" s="16"/>
      <c r="E58" s="94"/>
      <c r="F58" s="3"/>
      <c r="G58" s="3"/>
      <c r="H58" s="394"/>
      <c r="I58" s="398"/>
      <c r="J58" s="2"/>
      <c r="K58" s="3"/>
      <c r="L58" s="3"/>
      <c r="M58" s="3"/>
      <c r="N58" s="3"/>
      <c r="O58" s="3"/>
      <c r="P58" s="3"/>
      <c r="Q58" s="3"/>
      <c r="R58" s="3"/>
      <c r="S58" s="3"/>
      <c r="T58" s="4"/>
    </row>
    <row r="59" spans="2:20" x14ac:dyDescent="0.25">
      <c r="B59" s="2"/>
      <c r="C59" s="14" t="s">
        <v>1876</v>
      </c>
      <c r="D59" s="16"/>
      <c r="E59" s="94" t="s">
        <v>159</v>
      </c>
      <c r="F59" s="358">
        <f>'Rekap Volume'!E41</f>
        <v>37</v>
      </c>
      <c r="G59" s="344">
        <f>HSP!G74/10</f>
        <v>17691.7</v>
      </c>
      <c r="H59" s="394">
        <f t="shared" si="8"/>
        <v>654592.9</v>
      </c>
      <c r="I59" s="398">
        <f t="shared" si="9"/>
        <v>0.18952339162303733</v>
      </c>
      <c r="J59" s="2"/>
      <c r="K59" s="3"/>
      <c r="L59" s="3"/>
      <c r="M59" s="3"/>
      <c r="N59" s="3"/>
      <c r="O59" s="430">
        <f>I59</f>
        <v>0.18952339162303733</v>
      </c>
      <c r="P59" s="3"/>
      <c r="Q59" s="3"/>
      <c r="R59" s="3"/>
      <c r="S59" s="3"/>
      <c r="T59" s="4"/>
    </row>
    <row r="60" spans="2:20" x14ac:dyDescent="0.25">
      <c r="B60" s="2"/>
      <c r="C60" s="14" t="s">
        <v>1877</v>
      </c>
      <c r="D60" s="16"/>
      <c r="E60" s="94" t="s">
        <v>282</v>
      </c>
      <c r="F60" s="358">
        <f>'Rekap Volume'!E42</f>
        <v>3</v>
      </c>
      <c r="G60" s="344">
        <f>HSP!G81</f>
        <v>700265</v>
      </c>
      <c r="H60" s="394">
        <f t="shared" si="8"/>
        <v>2100795</v>
      </c>
      <c r="I60" s="398">
        <f t="shared" si="9"/>
        <v>0.60824031776806431</v>
      </c>
      <c r="J60" s="2"/>
      <c r="K60" s="3"/>
      <c r="L60" s="3"/>
      <c r="M60" s="3"/>
      <c r="N60" s="3"/>
      <c r="O60" s="430">
        <f>I60</f>
        <v>0.60824031776806431</v>
      </c>
      <c r="P60" s="3"/>
      <c r="Q60" s="3"/>
      <c r="R60" s="3"/>
      <c r="S60" s="3"/>
      <c r="T60" s="4"/>
    </row>
    <row r="61" spans="2:20" x14ac:dyDescent="0.25">
      <c r="B61" s="2"/>
      <c r="C61" s="14" t="s">
        <v>1878</v>
      </c>
      <c r="D61" s="16"/>
      <c r="E61" s="94" t="s">
        <v>283</v>
      </c>
      <c r="F61" s="358">
        <f>'Rekap Volume'!E43</f>
        <v>0.36</v>
      </c>
      <c r="G61" s="344">
        <f>HSP!G64</f>
        <v>1802958</v>
      </c>
      <c r="H61" s="394">
        <f t="shared" si="8"/>
        <v>649064.88</v>
      </c>
      <c r="I61" s="398">
        <f t="shared" si="9"/>
        <v>0.18792287151449355</v>
      </c>
      <c r="J61" s="2"/>
      <c r="K61" s="3"/>
      <c r="L61" s="3"/>
      <c r="M61" s="3"/>
      <c r="N61" s="3"/>
      <c r="O61" s="430">
        <f>I61</f>
        <v>0.18792287151449355</v>
      </c>
      <c r="P61" s="3"/>
      <c r="Q61" s="3"/>
      <c r="R61" s="3"/>
      <c r="S61" s="3"/>
      <c r="T61" s="4"/>
    </row>
    <row r="62" spans="2:20" x14ac:dyDescent="0.25">
      <c r="B62" s="2">
        <v>5</v>
      </c>
      <c r="C62" s="14" t="s">
        <v>185</v>
      </c>
      <c r="D62" s="16"/>
      <c r="E62" s="94"/>
      <c r="F62" s="3"/>
      <c r="G62" s="3"/>
      <c r="H62" s="394"/>
      <c r="I62" s="398"/>
      <c r="J62" s="2"/>
      <c r="K62" s="3"/>
      <c r="L62" s="3"/>
      <c r="M62" s="3"/>
      <c r="N62" s="3"/>
      <c r="O62" s="3"/>
      <c r="P62" s="3"/>
      <c r="Q62" s="3"/>
      <c r="R62" s="3"/>
      <c r="S62" s="3"/>
      <c r="T62" s="4"/>
    </row>
    <row r="63" spans="2:20" x14ac:dyDescent="0.25">
      <c r="B63" s="2"/>
      <c r="C63" s="14" t="s">
        <v>1876</v>
      </c>
      <c r="D63" s="16"/>
      <c r="E63" s="94" t="s">
        <v>159</v>
      </c>
      <c r="F63" s="358">
        <f>'Rekap Volume'!E45</f>
        <v>34.533333333333339</v>
      </c>
      <c r="G63" s="344">
        <f>HSP!G74/10</f>
        <v>17691.7</v>
      </c>
      <c r="H63" s="394">
        <f t="shared" si="8"/>
        <v>610953.37333333341</v>
      </c>
      <c r="I63" s="398">
        <f t="shared" si="9"/>
        <v>0.17688849884816821</v>
      </c>
      <c r="J63" s="2"/>
      <c r="K63" s="3"/>
      <c r="L63" s="3"/>
      <c r="M63" s="3"/>
      <c r="N63" s="3"/>
      <c r="O63" s="430">
        <f>I63</f>
        <v>0.17688849884816821</v>
      </c>
      <c r="P63" s="3"/>
      <c r="Q63" s="3"/>
      <c r="R63" s="3"/>
      <c r="S63" s="3"/>
      <c r="T63" s="4"/>
    </row>
    <row r="64" spans="2:20" x14ac:dyDescent="0.25">
      <c r="B64" s="2"/>
      <c r="C64" s="14" t="s">
        <v>1877</v>
      </c>
      <c r="D64" s="16"/>
      <c r="E64" s="94" t="s">
        <v>282</v>
      </c>
      <c r="F64" s="358">
        <f>'Rekap Volume'!E46</f>
        <v>2.8</v>
      </c>
      <c r="G64" s="344">
        <f>HSP!G81</f>
        <v>700265</v>
      </c>
      <c r="H64" s="394">
        <f t="shared" si="8"/>
        <v>1960741.9999999998</v>
      </c>
      <c r="I64" s="398">
        <f t="shared" si="9"/>
        <v>0.5676909632501933</v>
      </c>
      <c r="J64" s="2"/>
      <c r="K64" s="3"/>
      <c r="L64" s="3"/>
      <c r="M64" s="3"/>
      <c r="N64" s="3"/>
      <c r="O64" s="430">
        <f>I64</f>
        <v>0.5676909632501933</v>
      </c>
      <c r="P64" s="3"/>
      <c r="Q64" s="3"/>
      <c r="R64" s="3"/>
      <c r="S64" s="3"/>
      <c r="T64" s="4"/>
    </row>
    <row r="65" spans="2:20" x14ac:dyDescent="0.25">
      <c r="B65" s="2"/>
      <c r="C65" s="14" t="s">
        <v>1878</v>
      </c>
      <c r="D65" s="16"/>
      <c r="E65" s="94" t="s">
        <v>283</v>
      </c>
      <c r="F65" s="358">
        <f>'Rekap Volume'!E47</f>
        <v>0.33599999999999997</v>
      </c>
      <c r="G65" s="362">
        <f>HSP!G64</f>
        <v>1802958</v>
      </c>
      <c r="H65" s="395">
        <f t="shared" si="8"/>
        <v>605793.88799999992</v>
      </c>
      <c r="I65" s="401">
        <f t="shared" si="9"/>
        <v>0.17539468008019396</v>
      </c>
      <c r="J65" s="2"/>
      <c r="K65" s="3"/>
      <c r="L65" s="3"/>
      <c r="M65" s="3"/>
      <c r="N65" s="3"/>
      <c r="O65" s="430">
        <f>I65</f>
        <v>0.17539468008019396</v>
      </c>
      <c r="P65" s="3"/>
      <c r="Q65" s="3"/>
      <c r="R65" s="3"/>
      <c r="S65" s="3"/>
      <c r="T65" s="4"/>
    </row>
    <row r="66" spans="2:20" x14ac:dyDescent="0.25">
      <c r="B66" s="2"/>
      <c r="C66" s="14"/>
      <c r="D66" s="16"/>
      <c r="E66" s="94"/>
      <c r="F66" s="3"/>
      <c r="G66" s="98" t="s">
        <v>337</v>
      </c>
      <c r="H66" s="396">
        <f>SUM(H47:H65)</f>
        <v>42364053.906166665</v>
      </c>
      <c r="I66" s="402">
        <f>SUM(I47:I65)</f>
        <v>12.2656068820757</v>
      </c>
      <c r="J66" s="2"/>
      <c r="K66" s="3"/>
      <c r="L66" s="3"/>
      <c r="M66" s="3"/>
      <c r="N66" s="3"/>
      <c r="O66" s="3"/>
      <c r="P66" s="3"/>
      <c r="Q66" s="3"/>
      <c r="R66" s="3"/>
      <c r="S66" s="3"/>
      <c r="T66" s="4"/>
    </row>
    <row r="67" spans="2:20" x14ac:dyDescent="0.25">
      <c r="B67" s="99" t="s">
        <v>187</v>
      </c>
      <c r="C67" s="21" t="s">
        <v>295</v>
      </c>
      <c r="D67" s="405"/>
      <c r="E67" s="94"/>
      <c r="F67" s="3"/>
      <c r="G67" s="3"/>
      <c r="H67" s="14"/>
      <c r="I67" s="398"/>
      <c r="J67" s="2"/>
      <c r="K67" s="3"/>
      <c r="L67" s="3"/>
      <c r="M67" s="3"/>
      <c r="N67" s="3"/>
      <c r="O67" s="3"/>
      <c r="P67" s="3"/>
      <c r="Q67" s="3"/>
      <c r="R67" s="3"/>
      <c r="S67" s="3"/>
      <c r="T67" s="4"/>
    </row>
    <row r="68" spans="2:20" x14ac:dyDescent="0.25">
      <c r="B68" s="2">
        <v>1</v>
      </c>
      <c r="C68" s="14" t="s">
        <v>1882</v>
      </c>
      <c r="D68" s="16"/>
      <c r="E68" s="94" t="s">
        <v>283</v>
      </c>
      <c r="F68" s="358">
        <f t="shared" ref="F68:F73" si="13">VLOOKUP(C68,RekapVolume,3,FALSE)</f>
        <v>97.680097680097688</v>
      </c>
      <c r="G68" s="344">
        <f>HSP!G145</f>
        <v>396201</v>
      </c>
      <c r="H68" s="394">
        <f t="shared" ref="H68:H73" si="14">F68*G68</f>
        <v>38700952.380952381</v>
      </c>
      <c r="I68" s="398">
        <f t="shared" ref="I68:I73" si="15">H68/$H$136*100</f>
        <v>11.205034081915274</v>
      </c>
      <c r="J68" s="2"/>
      <c r="K68" s="3"/>
      <c r="L68" s="3"/>
      <c r="M68" s="3"/>
      <c r="N68" s="3"/>
      <c r="O68" s="431">
        <f>$I$68/3</f>
        <v>3.7350113606384245</v>
      </c>
      <c r="P68" s="431">
        <f>$I$68/3</f>
        <v>3.7350113606384245</v>
      </c>
      <c r="Q68" s="431">
        <f>$I$68/3</f>
        <v>3.7350113606384245</v>
      </c>
      <c r="R68" s="3"/>
      <c r="S68" s="3"/>
      <c r="T68" s="4"/>
    </row>
    <row r="69" spans="2:20" x14ac:dyDescent="0.25">
      <c r="B69" s="2">
        <v>2</v>
      </c>
      <c r="C69" s="14" t="s">
        <v>296</v>
      </c>
      <c r="D69" s="16"/>
      <c r="E69" s="94" t="s">
        <v>283</v>
      </c>
      <c r="F69" s="358">
        <f t="shared" si="13"/>
        <v>39.536019536019538</v>
      </c>
      <c r="G69" s="344">
        <f>HSP!G358</f>
        <v>107851</v>
      </c>
      <c r="H69" s="394">
        <f t="shared" si="14"/>
        <v>4263999.2429792434</v>
      </c>
      <c r="I69" s="398">
        <f t="shared" si="15"/>
        <v>1.2345498987347554</v>
      </c>
      <c r="J69" s="2"/>
      <c r="K69" s="3"/>
      <c r="L69" s="3"/>
      <c r="M69" s="3"/>
      <c r="N69" s="3"/>
      <c r="O69" s="3"/>
      <c r="P69" s="430">
        <f>I69</f>
        <v>1.2345498987347554</v>
      </c>
      <c r="Q69" s="3"/>
      <c r="R69" s="3"/>
      <c r="S69" s="3"/>
      <c r="T69" s="4"/>
    </row>
    <row r="70" spans="2:20" x14ac:dyDescent="0.25">
      <c r="B70" s="2">
        <v>3</v>
      </c>
      <c r="C70" s="14" t="s">
        <v>1892</v>
      </c>
      <c r="D70" s="16"/>
      <c r="E70" s="94" t="s">
        <v>283</v>
      </c>
      <c r="F70" s="358">
        <f t="shared" si="13"/>
        <v>97.680097680097688</v>
      </c>
      <c r="G70" s="344">
        <f>HSP!G324</f>
        <v>114665</v>
      </c>
      <c r="H70" s="394">
        <f t="shared" si="14"/>
        <v>11200488.400488401</v>
      </c>
      <c r="I70" s="398">
        <f t="shared" si="15"/>
        <v>3.2428621659279377</v>
      </c>
      <c r="J70" s="2"/>
      <c r="K70" s="3"/>
      <c r="L70" s="3"/>
      <c r="M70" s="3"/>
      <c r="N70" s="3"/>
      <c r="O70" s="3"/>
      <c r="P70" s="431">
        <f>$I$70/2</f>
        <v>1.6214310829639689</v>
      </c>
      <c r="Q70" s="431">
        <f>$I$70/2</f>
        <v>1.6214310829639689</v>
      </c>
      <c r="R70" s="3"/>
      <c r="S70" s="3"/>
      <c r="T70" s="4"/>
    </row>
    <row r="71" spans="2:20" x14ac:dyDescent="0.25">
      <c r="B71" s="2">
        <v>4</v>
      </c>
      <c r="C71" s="14" t="s">
        <v>1893</v>
      </c>
      <c r="D71" s="16"/>
      <c r="E71" s="94" t="s">
        <v>283</v>
      </c>
      <c r="F71" s="3">
        <f t="shared" si="13"/>
        <v>80</v>
      </c>
      <c r="G71" s="344">
        <f>HSP!G288</f>
        <v>423593</v>
      </c>
      <c r="H71" s="394">
        <f t="shared" si="14"/>
        <v>33887440</v>
      </c>
      <c r="I71" s="398">
        <f t="shared" si="15"/>
        <v>9.8113843920735775</v>
      </c>
      <c r="J71" s="2"/>
      <c r="K71" s="3"/>
      <c r="L71" s="3"/>
      <c r="M71" s="3"/>
      <c r="N71" s="3"/>
      <c r="O71" s="3"/>
      <c r="P71" s="431">
        <f>$I$71/3</f>
        <v>3.270461464024526</v>
      </c>
      <c r="Q71" s="431">
        <f>$I$71/3</f>
        <v>3.270461464024526</v>
      </c>
      <c r="R71" s="431">
        <f>$I$71/3</f>
        <v>3.270461464024526</v>
      </c>
      <c r="S71" s="3"/>
      <c r="T71" s="4"/>
    </row>
    <row r="72" spans="2:20" x14ac:dyDescent="0.25">
      <c r="B72" s="2">
        <v>5</v>
      </c>
      <c r="C72" s="14" t="s">
        <v>1894</v>
      </c>
      <c r="D72" s="16"/>
      <c r="E72" s="94" t="s">
        <v>284</v>
      </c>
      <c r="F72" s="3">
        <f t="shared" si="13"/>
        <v>80</v>
      </c>
      <c r="G72" s="344">
        <f>HSP!G284</f>
        <v>64700</v>
      </c>
      <c r="H72" s="394">
        <f t="shared" si="14"/>
        <v>5176000</v>
      </c>
      <c r="I72" s="398">
        <f t="shared" si="15"/>
        <v>1.4986002369424436</v>
      </c>
      <c r="J72" s="2"/>
      <c r="K72" s="3"/>
      <c r="L72" s="3"/>
      <c r="M72" s="3"/>
      <c r="N72" s="3"/>
      <c r="O72" s="3"/>
      <c r="P72" s="3"/>
      <c r="Q72" s="3"/>
      <c r="R72" s="430">
        <f>I72</f>
        <v>1.4986002369424436</v>
      </c>
      <c r="S72" s="3"/>
      <c r="T72" s="4"/>
    </row>
    <row r="73" spans="2:20" x14ac:dyDescent="0.25">
      <c r="B73" s="2">
        <v>6</v>
      </c>
      <c r="C73" s="14" t="s">
        <v>297</v>
      </c>
      <c r="D73" s="16"/>
      <c r="E73" s="94" t="s">
        <v>282</v>
      </c>
      <c r="F73" s="3">
        <f t="shared" si="13"/>
        <v>36</v>
      </c>
      <c r="G73" s="362">
        <f>HSP!G285</f>
        <v>41910</v>
      </c>
      <c r="H73" s="395">
        <f t="shared" si="14"/>
        <v>1508760</v>
      </c>
      <c r="I73" s="401">
        <f t="shared" si="15"/>
        <v>0.43682922980859373</v>
      </c>
      <c r="J73" s="2"/>
      <c r="K73" s="3"/>
      <c r="L73" s="3"/>
      <c r="M73" s="3"/>
      <c r="N73" s="3"/>
      <c r="O73" s="3"/>
      <c r="P73" s="3"/>
      <c r="Q73" s="3"/>
      <c r="R73" s="430">
        <f>I73</f>
        <v>0.43682922980859373</v>
      </c>
      <c r="S73" s="3"/>
      <c r="T73" s="4"/>
    </row>
    <row r="74" spans="2:20" x14ac:dyDescent="0.25">
      <c r="B74" s="2"/>
      <c r="C74" s="14"/>
      <c r="D74" s="16"/>
      <c r="E74" s="94"/>
      <c r="F74" s="3"/>
      <c r="G74" s="98" t="s">
        <v>338</v>
      </c>
      <c r="H74" s="396">
        <f>SUM(H68:H73)</f>
        <v>94737640.024420023</v>
      </c>
      <c r="I74" s="402">
        <f>SUM(I68:I73)</f>
        <v>27.429260005402583</v>
      </c>
      <c r="J74" s="2"/>
      <c r="K74" s="3"/>
      <c r="L74" s="3"/>
      <c r="M74" s="3"/>
      <c r="N74" s="3"/>
      <c r="O74" s="3"/>
      <c r="P74" s="3"/>
      <c r="Q74" s="3"/>
      <c r="R74" s="3"/>
      <c r="S74" s="3"/>
      <c r="T74" s="4"/>
    </row>
    <row r="75" spans="2:20" x14ac:dyDescent="0.25">
      <c r="B75" s="99" t="s">
        <v>204</v>
      </c>
      <c r="C75" s="21" t="s">
        <v>298</v>
      </c>
      <c r="D75" s="405"/>
      <c r="E75" s="94"/>
      <c r="F75" s="3"/>
      <c r="G75" s="3"/>
      <c r="H75" s="14"/>
      <c r="I75" s="398"/>
      <c r="J75" s="2"/>
      <c r="K75" s="3"/>
      <c r="L75" s="3"/>
      <c r="M75" s="3"/>
      <c r="N75" s="3"/>
      <c r="O75" s="3"/>
      <c r="P75" s="3"/>
      <c r="Q75" s="3"/>
      <c r="R75" s="3"/>
      <c r="S75" s="3"/>
      <c r="T75" s="4"/>
    </row>
    <row r="76" spans="2:20" x14ac:dyDescent="0.25">
      <c r="B76" s="2">
        <v>1</v>
      </c>
      <c r="C76" s="14" t="s">
        <v>1905</v>
      </c>
      <c r="D76" s="16"/>
      <c r="E76" s="94" t="s">
        <v>283</v>
      </c>
      <c r="F76" s="358">
        <f>VLOOKUP(C76,RekapVolume,3,FALSE)</f>
        <v>0.35040000000000004</v>
      </c>
      <c r="G76" s="344">
        <f>HSP!G339</f>
        <v>10054189</v>
      </c>
      <c r="H76" s="394">
        <f t="shared" ref="H76:H80" si="16">F76*G76</f>
        <v>3522987.8256000006</v>
      </c>
      <c r="I76" s="398">
        <f t="shared" ref="I76:I80" si="17">H76/$H$136*100</f>
        <v>1.020005871365824</v>
      </c>
      <c r="J76" s="2"/>
      <c r="K76" s="431">
        <f>$I$76/3</f>
        <v>0.34000195712194131</v>
      </c>
      <c r="L76" s="431">
        <f t="shared" ref="L76:M76" si="18">$I$76/3</f>
        <v>0.34000195712194131</v>
      </c>
      <c r="M76" s="431">
        <f t="shared" si="18"/>
        <v>0.34000195712194131</v>
      </c>
      <c r="N76" s="3"/>
      <c r="O76" s="3"/>
      <c r="P76" s="3"/>
      <c r="Q76" s="3"/>
      <c r="R76" s="3"/>
      <c r="S76" s="3"/>
      <c r="T76" s="4"/>
    </row>
    <row r="77" spans="2:20" x14ac:dyDescent="0.25">
      <c r="B77" s="2">
        <v>2</v>
      </c>
      <c r="C77" s="14" t="s">
        <v>1906</v>
      </c>
      <c r="D77" s="16"/>
      <c r="E77" s="94" t="s">
        <v>282</v>
      </c>
      <c r="F77" s="3">
        <f>VLOOKUP(C77,RekapVolume,3,FALSE)</f>
        <v>6.5280000000000005</v>
      </c>
      <c r="G77" s="344">
        <f>HSP!G342</f>
        <v>902665</v>
      </c>
      <c r="H77" s="394">
        <f t="shared" si="16"/>
        <v>5892597.1200000001</v>
      </c>
      <c r="I77" s="398">
        <f t="shared" si="17"/>
        <v>1.706075626012048</v>
      </c>
      <c r="J77" s="2"/>
      <c r="K77" s="3"/>
      <c r="L77" s="3"/>
      <c r="M77" s="3"/>
      <c r="N77" s="3"/>
      <c r="O77" s="3"/>
      <c r="P77" s="3"/>
      <c r="Q77" s="3"/>
      <c r="R77" s="430">
        <f>I77</f>
        <v>1.706075626012048</v>
      </c>
      <c r="S77" s="3"/>
      <c r="T77" s="4"/>
    </row>
    <row r="78" spans="2:20" x14ac:dyDescent="0.25">
      <c r="B78" s="2">
        <v>3</v>
      </c>
      <c r="C78" s="14" t="s">
        <v>224</v>
      </c>
      <c r="D78" s="16"/>
      <c r="E78" s="94" t="s">
        <v>282</v>
      </c>
      <c r="F78" s="3">
        <f>VLOOKUP(C78,RekapVolume,3,FALSE)</f>
        <v>1.4279999999999999</v>
      </c>
      <c r="G78" s="344">
        <f>HSP!G348</f>
        <v>767120</v>
      </c>
      <c r="H78" s="394">
        <f t="shared" si="16"/>
        <v>1095447.3599999999</v>
      </c>
      <c r="I78" s="398">
        <f t="shared" si="17"/>
        <v>0.31716338354984042</v>
      </c>
      <c r="J78" s="2"/>
      <c r="K78" s="3"/>
      <c r="L78" s="3"/>
      <c r="M78" s="3"/>
      <c r="N78" s="3"/>
      <c r="O78" s="3"/>
      <c r="P78" s="3"/>
      <c r="Q78" s="3"/>
      <c r="R78" s="430">
        <f>I78</f>
        <v>0.31716338354984042</v>
      </c>
      <c r="S78" s="3"/>
      <c r="T78" s="4"/>
    </row>
    <row r="79" spans="2:20" x14ac:dyDescent="0.25">
      <c r="B79" s="2">
        <v>4</v>
      </c>
      <c r="C79" s="14" t="s">
        <v>299</v>
      </c>
      <c r="D79" s="16"/>
      <c r="E79" s="94" t="s">
        <v>282</v>
      </c>
      <c r="F79" s="3">
        <f>VLOOKUP(C79,RekapVolume,3,FALSE)</f>
        <v>0.81199999999999994</v>
      </c>
      <c r="G79" s="344">
        <f>HSP!G343</f>
        <v>680859</v>
      </c>
      <c r="H79" s="394">
        <f t="shared" si="16"/>
        <v>552857.50799999991</v>
      </c>
      <c r="I79" s="398">
        <f t="shared" si="17"/>
        <v>0.16006808201008668</v>
      </c>
      <c r="J79" s="2"/>
      <c r="K79" s="3"/>
      <c r="L79" s="3"/>
      <c r="M79" s="3"/>
      <c r="N79" s="3"/>
      <c r="O79" s="3"/>
      <c r="P79" s="3"/>
      <c r="Q79" s="3"/>
      <c r="R79" s="430">
        <f>I79</f>
        <v>0.16006808201008668</v>
      </c>
      <c r="S79" s="3"/>
      <c r="T79" s="4"/>
    </row>
    <row r="80" spans="2:20" x14ac:dyDescent="0.25">
      <c r="B80" s="2">
        <v>5</v>
      </c>
      <c r="C80" s="14" t="s">
        <v>300</v>
      </c>
      <c r="D80" s="16"/>
      <c r="E80" s="94" t="s">
        <v>282</v>
      </c>
      <c r="F80" s="3">
        <f>VLOOKUP(C80,RekapVolume,3,FALSE)</f>
        <v>2.3040000000000003</v>
      </c>
      <c r="G80" s="362">
        <f>HSP!G347</f>
        <v>822685</v>
      </c>
      <c r="H80" s="395">
        <f t="shared" si="16"/>
        <v>1895466.2400000002</v>
      </c>
      <c r="I80" s="401">
        <f t="shared" si="17"/>
        <v>0.54879176127905771</v>
      </c>
      <c r="J80" s="2"/>
      <c r="K80" s="3"/>
      <c r="L80" s="3"/>
      <c r="M80" s="430">
        <f>I80</f>
        <v>0.54879176127905771</v>
      </c>
      <c r="N80" s="3"/>
      <c r="O80" s="3"/>
      <c r="P80" s="3"/>
      <c r="Q80" s="3"/>
      <c r="R80" s="3"/>
      <c r="S80" s="3"/>
      <c r="T80" s="4"/>
    </row>
    <row r="81" spans="2:20" x14ac:dyDescent="0.25">
      <c r="B81" s="2"/>
      <c r="C81" s="14"/>
      <c r="D81" s="16"/>
      <c r="E81" s="94"/>
      <c r="F81" s="3"/>
      <c r="G81" s="98" t="s">
        <v>339</v>
      </c>
      <c r="H81" s="396">
        <f>SUM(H76:H80)</f>
        <v>12959356.0536</v>
      </c>
      <c r="I81" s="402">
        <f>SUM(I76:I80)</f>
        <v>3.7521047242168568</v>
      </c>
      <c r="J81" s="2"/>
      <c r="K81" s="3"/>
      <c r="L81" s="3"/>
      <c r="M81" s="3"/>
      <c r="N81" s="3"/>
      <c r="O81" s="3"/>
      <c r="P81" s="3"/>
      <c r="Q81" s="3"/>
      <c r="R81" s="3"/>
      <c r="S81" s="3"/>
      <c r="T81" s="4"/>
    </row>
    <row r="82" spans="2:20" x14ac:dyDescent="0.25">
      <c r="B82" s="99" t="s">
        <v>228</v>
      </c>
      <c r="C82" s="21" t="s">
        <v>301</v>
      </c>
      <c r="D82" s="405"/>
      <c r="E82" s="94"/>
      <c r="F82" s="3"/>
      <c r="G82" s="3"/>
      <c r="H82" s="14"/>
      <c r="I82" s="398"/>
      <c r="J82" s="2"/>
      <c r="K82" s="3"/>
      <c r="L82" s="3"/>
      <c r="M82" s="3"/>
      <c r="N82" s="3"/>
      <c r="O82" s="3"/>
      <c r="P82" s="3"/>
      <c r="Q82" s="3"/>
      <c r="R82" s="3"/>
      <c r="S82" s="3"/>
      <c r="T82" s="4"/>
    </row>
    <row r="83" spans="2:20" x14ac:dyDescent="0.25">
      <c r="B83" s="2">
        <v>1</v>
      </c>
      <c r="C83" s="14" t="s">
        <v>302</v>
      </c>
      <c r="D83" s="16"/>
      <c r="E83" s="94" t="s">
        <v>282</v>
      </c>
      <c r="F83" s="3">
        <f>VLOOKUP(C83,RekapVolume,3,FALSE)</f>
        <v>44.37</v>
      </c>
      <c r="G83" s="344">
        <f>HSP!G242</f>
        <v>302112</v>
      </c>
      <c r="H83" s="394">
        <f t="shared" ref="H83:H84" si="19">F83*G83</f>
        <v>13404709.439999999</v>
      </c>
      <c r="I83" s="398">
        <f t="shared" ref="I83:I84" si="20">H83/$H$136*100</f>
        <v>3.8810472841824977</v>
      </c>
      <c r="J83" s="2"/>
      <c r="K83" s="3"/>
      <c r="L83" s="3"/>
      <c r="M83" s="3"/>
      <c r="N83" s="3"/>
      <c r="O83" s="3"/>
      <c r="P83" s="3"/>
      <c r="Q83" s="3"/>
      <c r="R83" s="430">
        <f>$I$83/2</f>
        <v>1.9405236420912488</v>
      </c>
      <c r="S83" s="430">
        <f>$I$83/2</f>
        <v>1.9405236420912488</v>
      </c>
      <c r="T83" s="4"/>
    </row>
    <row r="84" spans="2:20" x14ac:dyDescent="0.25">
      <c r="B84" s="2">
        <v>2</v>
      </c>
      <c r="C84" s="14" t="s">
        <v>303</v>
      </c>
      <c r="D84" s="16"/>
      <c r="E84" s="94" t="s">
        <v>282</v>
      </c>
      <c r="F84" s="3">
        <f>VLOOKUP(C84,RekapVolume,3,FALSE)</f>
        <v>2.8800000000000003</v>
      </c>
      <c r="G84" s="362">
        <f>HSP!G243</f>
        <v>351087</v>
      </c>
      <c r="H84" s="395">
        <f t="shared" si="19"/>
        <v>1011130.5600000002</v>
      </c>
      <c r="I84" s="401">
        <f t="shared" si="20"/>
        <v>0.29275125517692152</v>
      </c>
      <c r="J84" s="2"/>
      <c r="K84" s="3"/>
      <c r="L84" s="3"/>
      <c r="M84" s="3"/>
      <c r="N84" s="3"/>
      <c r="O84" s="3"/>
      <c r="P84" s="3"/>
      <c r="Q84" s="3"/>
      <c r="R84" s="430">
        <f>I84</f>
        <v>0.29275125517692152</v>
      </c>
      <c r="S84" s="3"/>
      <c r="T84" s="4"/>
    </row>
    <row r="85" spans="2:20" x14ac:dyDescent="0.25">
      <c r="B85" s="2"/>
      <c r="C85" s="14"/>
      <c r="D85" s="16"/>
      <c r="E85" s="94"/>
      <c r="F85" s="3"/>
      <c r="G85" s="98" t="s">
        <v>340</v>
      </c>
      <c r="H85" s="396">
        <f>SUM(H83:H84)</f>
        <v>14415840</v>
      </c>
      <c r="I85" s="402">
        <f>SUM(I83:I84)</f>
        <v>4.173798539359419</v>
      </c>
      <c r="J85" s="2"/>
      <c r="K85" s="3"/>
      <c r="L85" s="3"/>
      <c r="M85" s="3"/>
      <c r="N85" s="3"/>
      <c r="O85" s="3"/>
      <c r="P85" s="3"/>
      <c r="Q85" s="3"/>
      <c r="R85" s="433"/>
      <c r="S85" s="3"/>
      <c r="T85" s="4"/>
    </row>
    <row r="86" spans="2:20" x14ac:dyDescent="0.25">
      <c r="B86" s="99" t="s">
        <v>285</v>
      </c>
      <c r="C86" s="21" t="s">
        <v>304</v>
      </c>
      <c r="D86" s="405"/>
      <c r="E86" s="94"/>
      <c r="F86" s="3"/>
      <c r="G86" s="3"/>
      <c r="H86" s="14"/>
      <c r="I86" s="398"/>
      <c r="J86" s="2"/>
      <c r="K86" s="3"/>
      <c r="L86" s="3"/>
      <c r="M86" s="3"/>
      <c r="N86" s="3"/>
      <c r="O86" s="3"/>
      <c r="P86" s="3"/>
      <c r="Q86" s="3"/>
      <c r="R86" s="3"/>
      <c r="S86" s="3"/>
      <c r="T86" s="4"/>
    </row>
    <row r="87" spans="2:20" x14ac:dyDescent="0.25">
      <c r="B87" s="2">
        <v>1</v>
      </c>
      <c r="C87" s="14" t="s">
        <v>1908</v>
      </c>
      <c r="D87" s="16"/>
      <c r="E87" s="94" t="s">
        <v>286</v>
      </c>
      <c r="F87" s="3">
        <f t="shared" ref="F87:F93" si="21">VLOOKUP(C87,RekapVolume,3,FALSE)</f>
        <v>4</v>
      </c>
      <c r="G87" s="344">
        <f>HSP!G369</f>
        <v>269775</v>
      </c>
      <c r="H87" s="394">
        <f t="shared" ref="H87:H93" si="22">F87*G87</f>
        <v>1079100</v>
      </c>
      <c r="I87" s="398">
        <f t="shared" ref="I87:I93" si="23">H87/$H$136*100</f>
        <v>0.31243035465312807</v>
      </c>
      <c r="J87" s="2"/>
      <c r="K87" s="3"/>
      <c r="L87" s="3"/>
      <c r="M87" s="3"/>
      <c r="N87" s="3"/>
      <c r="O87" s="3"/>
      <c r="P87" s="3"/>
      <c r="Q87" s="3"/>
      <c r="R87" s="430">
        <f t="shared" ref="R87:R93" si="24">I87</f>
        <v>0.31243035465312807</v>
      </c>
      <c r="S87" s="3"/>
      <c r="T87" s="4"/>
    </row>
    <row r="88" spans="2:20" x14ac:dyDescent="0.25">
      <c r="B88" s="2">
        <v>2</v>
      </c>
      <c r="C88" s="14" t="s">
        <v>241</v>
      </c>
      <c r="D88" s="16"/>
      <c r="E88" s="94" t="s">
        <v>286</v>
      </c>
      <c r="F88" s="3">
        <f t="shared" si="21"/>
        <v>1</v>
      </c>
      <c r="G88" s="344">
        <f>HSP!G370</f>
        <v>157173</v>
      </c>
      <c r="H88" s="394">
        <f t="shared" si="22"/>
        <v>157173</v>
      </c>
      <c r="I88" s="398">
        <f t="shared" si="23"/>
        <v>4.5506084822441013E-2</v>
      </c>
      <c r="J88" s="2"/>
      <c r="K88" s="3"/>
      <c r="L88" s="3"/>
      <c r="M88" s="3"/>
      <c r="N88" s="3"/>
      <c r="O88" s="3"/>
      <c r="P88" s="3"/>
      <c r="Q88" s="3"/>
      <c r="R88" s="430">
        <f t="shared" si="24"/>
        <v>4.5506084822441013E-2</v>
      </c>
      <c r="S88" s="3"/>
      <c r="T88" s="4"/>
    </row>
    <row r="89" spans="2:20" x14ac:dyDescent="0.25">
      <c r="B89" s="2">
        <v>3</v>
      </c>
      <c r="C89" s="14" t="s">
        <v>1909</v>
      </c>
      <c r="D89" s="16"/>
      <c r="E89" s="94" t="s">
        <v>286</v>
      </c>
      <c r="F89" s="3">
        <f t="shared" si="21"/>
        <v>5</v>
      </c>
      <c r="G89" s="344">
        <f>HSP!G378</f>
        <v>108317</v>
      </c>
      <c r="H89" s="394">
        <f t="shared" si="22"/>
        <v>541585</v>
      </c>
      <c r="I89" s="398">
        <f t="shared" si="23"/>
        <v>0.15680436810751028</v>
      </c>
      <c r="J89" s="2"/>
      <c r="K89" s="3"/>
      <c r="L89" s="3"/>
      <c r="M89" s="3"/>
      <c r="N89" s="3"/>
      <c r="O89" s="3"/>
      <c r="P89" s="3"/>
      <c r="Q89" s="3"/>
      <c r="R89" s="430">
        <f t="shared" si="24"/>
        <v>0.15680436810751028</v>
      </c>
      <c r="S89" s="3"/>
      <c r="T89" s="4"/>
    </row>
    <row r="90" spans="2:20" x14ac:dyDescent="0.25">
      <c r="B90" s="2">
        <v>4</v>
      </c>
      <c r="C90" s="14" t="s">
        <v>1910</v>
      </c>
      <c r="D90" s="16"/>
      <c r="E90" s="94" t="s">
        <v>286</v>
      </c>
      <c r="F90" s="3">
        <f t="shared" si="21"/>
        <v>4</v>
      </c>
      <c r="G90" s="344">
        <f>HSP!G378</f>
        <v>108317</v>
      </c>
      <c r="H90" s="394">
        <f t="shared" si="22"/>
        <v>433268</v>
      </c>
      <c r="I90" s="398">
        <f t="shared" si="23"/>
        <v>0.12544349448600822</v>
      </c>
      <c r="J90" s="2"/>
      <c r="K90" s="3"/>
      <c r="L90" s="3"/>
      <c r="M90" s="3"/>
      <c r="N90" s="3"/>
      <c r="O90" s="3"/>
      <c r="P90" s="3"/>
      <c r="Q90" s="3"/>
      <c r="R90" s="430">
        <f t="shared" si="24"/>
        <v>0.12544349448600822</v>
      </c>
      <c r="S90" s="3"/>
      <c r="T90" s="4"/>
    </row>
    <row r="91" spans="2:20" x14ac:dyDescent="0.25">
      <c r="B91" s="2">
        <v>5</v>
      </c>
      <c r="C91" s="14" t="s">
        <v>242</v>
      </c>
      <c r="D91" s="16"/>
      <c r="E91" s="94" t="s">
        <v>286</v>
      </c>
      <c r="F91" s="3">
        <f t="shared" si="21"/>
        <v>15</v>
      </c>
      <c r="G91" s="344">
        <f>HSP!G372</f>
        <v>53246</v>
      </c>
      <c r="H91" s="394">
        <f t="shared" si="22"/>
        <v>798690</v>
      </c>
      <c r="I91" s="398">
        <f t="shared" si="23"/>
        <v>0.23124362891104333</v>
      </c>
      <c r="J91" s="2"/>
      <c r="K91" s="3"/>
      <c r="L91" s="3"/>
      <c r="M91" s="3"/>
      <c r="N91" s="3"/>
      <c r="O91" s="3"/>
      <c r="P91" s="3"/>
      <c r="Q91" s="3"/>
      <c r="R91" s="430">
        <f t="shared" si="24"/>
        <v>0.23124362891104333</v>
      </c>
      <c r="S91" s="3"/>
      <c r="T91" s="4"/>
    </row>
    <row r="92" spans="2:20" x14ac:dyDescent="0.25">
      <c r="B92" s="2">
        <v>6</v>
      </c>
      <c r="C92" s="14" t="s">
        <v>243</v>
      </c>
      <c r="D92" s="16"/>
      <c r="E92" s="94" t="s">
        <v>286</v>
      </c>
      <c r="F92" s="3">
        <f t="shared" si="21"/>
        <v>8</v>
      </c>
      <c r="G92" s="344">
        <f>HSP!G373</f>
        <v>44863</v>
      </c>
      <c r="H92" s="394">
        <f t="shared" si="22"/>
        <v>358904</v>
      </c>
      <c r="I92" s="398">
        <f t="shared" si="23"/>
        <v>0.10391298675417131</v>
      </c>
      <c r="J92" s="2"/>
      <c r="K92" s="3"/>
      <c r="L92" s="3"/>
      <c r="M92" s="3"/>
      <c r="N92" s="3"/>
      <c r="O92" s="3"/>
      <c r="P92" s="3"/>
      <c r="Q92" s="3"/>
      <c r="R92" s="430">
        <f t="shared" si="24"/>
        <v>0.10391298675417131</v>
      </c>
      <c r="S92" s="3"/>
      <c r="T92" s="4"/>
    </row>
    <row r="93" spans="2:20" x14ac:dyDescent="0.25">
      <c r="B93" s="2">
        <v>7</v>
      </c>
      <c r="C93" s="14" t="s">
        <v>244</v>
      </c>
      <c r="D93" s="16"/>
      <c r="E93" s="94" t="s">
        <v>286</v>
      </c>
      <c r="F93" s="3">
        <f t="shared" si="21"/>
        <v>8</v>
      </c>
      <c r="G93" s="362">
        <f>HSP!G376</f>
        <v>38291</v>
      </c>
      <c r="H93" s="395">
        <f t="shared" si="22"/>
        <v>306328</v>
      </c>
      <c r="I93" s="401">
        <f t="shared" si="23"/>
        <v>8.86907290150898E-2</v>
      </c>
      <c r="J93" s="2"/>
      <c r="K93" s="3"/>
      <c r="L93" s="3"/>
      <c r="M93" s="3"/>
      <c r="N93" s="3"/>
      <c r="O93" s="3"/>
      <c r="P93" s="3"/>
      <c r="Q93" s="3"/>
      <c r="R93" s="430">
        <f t="shared" si="24"/>
        <v>8.86907290150898E-2</v>
      </c>
      <c r="S93" s="3"/>
      <c r="T93" s="4"/>
    </row>
    <row r="94" spans="2:20" x14ac:dyDescent="0.25">
      <c r="B94" s="2"/>
      <c r="C94" s="14"/>
      <c r="D94" s="16"/>
      <c r="E94" s="94"/>
      <c r="F94" s="3"/>
      <c r="G94" s="98" t="s">
        <v>341</v>
      </c>
      <c r="H94" s="396">
        <f>SUM(H87:H93)</f>
        <v>3675048</v>
      </c>
      <c r="I94" s="402">
        <f>SUM(I87:I93)</f>
        <v>1.064031646749392</v>
      </c>
      <c r="J94" s="2"/>
      <c r="K94" s="3"/>
      <c r="L94" s="3"/>
      <c r="M94" s="3"/>
      <c r="N94" s="3"/>
      <c r="O94" s="3"/>
      <c r="P94" s="3"/>
      <c r="Q94" s="3"/>
      <c r="R94" s="3"/>
      <c r="S94" s="3"/>
      <c r="T94" s="4"/>
    </row>
    <row r="95" spans="2:20" x14ac:dyDescent="0.25">
      <c r="B95" s="99" t="s">
        <v>246</v>
      </c>
      <c r="C95" s="21" t="s">
        <v>305</v>
      </c>
      <c r="D95" s="405"/>
      <c r="E95" s="94"/>
      <c r="F95" s="3"/>
      <c r="G95" s="3"/>
      <c r="H95" s="14"/>
      <c r="I95" s="398"/>
      <c r="J95" s="2"/>
      <c r="K95" s="3"/>
      <c r="L95" s="3"/>
      <c r="M95" s="3"/>
      <c r="N95" s="3"/>
      <c r="O95" s="3"/>
      <c r="P95" s="3"/>
      <c r="Q95" s="3"/>
      <c r="R95" s="3"/>
      <c r="S95" s="3"/>
      <c r="T95" s="4"/>
    </row>
    <row r="96" spans="2:20" x14ac:dyDescent="0.25">
      <c r="B96" s="2">
        <v>1</v>
      </c>
      <c r="C96" s="14" t="s">
        <v>306</v>
      </c>
      <c r="D96" s="16"/>
      <c r="E96" s="94" t="s">
        <v>286</v>
      </c>
      <c r="F96" s="3">
        <f t="shared" ref="F96:F107" si="25">VLOOKUP(C96,RekapVolume,3,FALSE)</f>
        <v>2</v>
      </c>
      <c r="G96" s="344">
        <f>HSP!G456</f>
        <v>306611</v>
      </c>
      <c r="H96" s="394">
        <f t="shared" ref="H96:H107" si="26">F96*G96</f>
        <v>613222</v>
      </c>
      <c r="I96" s="398">
        <f t="shared" ref="I96:I107" si="27">H96/$H$136*100</f>
        <v>0.17754533124001529</v>
      </c>
      <c r="J96" s="2"/>
      <c r="K96" s="3"/>
      <c r="L96" s="3"/>
      <c r="M96" s="3"/>
      <c r="N96" s="3"/>
      <c r="O96" s="3"/>
      <c r="P96" s="3"/>
      <c r="Q96" s="3"/>
      <c r="R96" s="3"/>
      <c r="S96" s="3"/>
      <c r="T96" s="434">
        <f>I96</f>
        <v>0.17754533124001529</v>
      </c>
    </row>
    <row r="97" spans="2:20" x14ac:dyDescent="0.25">
      <c r="B97" s="2">
        <v>2</v>
      </c>
      <c r="C97" s="14" t="s">
        <v>307</v>
      </c>
      <c r="D97" s="16"/>
      <c r="E97" s="94" t="s">
        <v>286</v>
      </c>
      <c r="F97" s="3">
        <f t="shared" si="25"/>
        <v>5</v>
      </c>
      <c r="G97" s="344">
        <f>HSP!G456</f>
        <v>306611</v>
      </c>
      <c r="H97" s="394">
        <f t="shared" si="26"/>
        <v>1533055</v>
      </c>
      <c r="I97" s="398">
        <f t="shared" si="27"/>
        <v>0.4438633281000382</v>
      </c>
      <c r="J97" s="2"/>
      <c r="K97" s="3"/>
      <c r="L97" s="3"/>
      <c r="M97" s="3"/>
      <c r="N97" s="3"/>
      <c r="O97" s="3"/>
      <c r="P97" s="3"/>
      <c r="Q97" s="3"/>
      <c r="R97" s="3"/>
      <c r="S97" s="3"/>
      <c r="T97" s="434">
        <f>I97</f>
        <v>0.4438633281000382</v>
      </c>
    </row>
    <row r="98" spans="2:20" x14ac:dyDescent="0.25">
      <c r="B98" s="2">
        <v>3</v>
      </c>
      <c r="C98" s="14" t="s">
        <v>308</v>
      </c>
      <c r="D98" s="16"/>
      <c r="E98" s="94" t="s">
        <v>286</v>
      </c>
      <c r="F98" s="3">
        <f t="shared" si="25"/>
        <v>1</v>
      </c>
      <c r="G98" s="344">
        <f>HSP!G456</f>
        <v>306611</v>
      </c>
      <c r="H98" s="394">
        <f t="shared" si="26"/>
        <v>306611</v>
      </c>
      <c r="I98" s="398">
        <f t="shared" si="27"/>
        <v>8.8772665620007643E-2</v>
      </c>
      <c r="J98" s="2"/>
      <c r="K98" s="3"/>
      <c r="L98" s="3"/>
      <c r="M98" s="3"/>
      <c r="N98" s="3"/>
      <c r="O98" s="3"/>
      <c r="P98" s="3"/>
      <c r="Q98" s="3"/>
      <c r="R98" s="3"/>
      <c r="S98" s="3"/>
      <c r="T98" s="434">
        <f>I98</f>
        <v>8.8772665620007643E-2</v>
      </c>
    </row>
    <row r="99" spans="2:20" x14ac:dyDescent="0.25">
      <c r="B99" s="2">
        <v>4</v>
      </c>
      <c r="C99" s="14" t="s">
        <v>248</v>
      </c>
      <c r="D99" s="16"/>
      <c r="E99" s="94" t="s">
        <v>286</v>
      </c>
      <c r="F99" s="3">
        <f t="shared" si="25"/>
        <v>2</v>
      </c>
      <c r="G99" s="344">
        <f>HSP!G457</f>
        <v>84535</v>
      </c>
      <c r="H99" s="394">
        <f t="shared" si="26"/>
        <v>169070</v>
      </c>
      <c r="I99" s="398">
        <f t="shared" si="27"/>
        <v>4.8950607044022203E-2</v>
      </c>
      <c r="J99" s="2"/>
      <c r="K99" s="3"/>
      <c r="L99" s="3"/>
      <c r="M99" s="430">
        <f>I99</f>
        <v>4.8950607044022203E-2</v>
      </c>
      <c r="N99" s="3"/>
      <c r="O99" s="3"/>
      <c r="P99" s="3"/>
      <c r="Q99" s="3"/>
      <c r="R99" s="3"/>
      <c r="S99" s="3"/>
      <c r="T99" s="4"/>
    </row>
    <row r="100" spans="2:20" x14ac:dyDescent="0.25">
      <c r="B100" s="2">
        <v>5</v>
      </c>
      <c r="C100" s="14" t="s">
        <v>249</v>
      </c>
      <c r="D100" s="16"/>
      <c r="E100" s="94" t="s">
        <v>286</v>
      </c>
      <c r="F100" s="3">
        <f t="shared" si="25"/>
        <v>4</v>
      </c>
      <c r="G100" s="344">
        <f>HSP!G458</f>
        <v>77935</v>
      </c>
      <c r="H100" s="394">
        <f t="shared" si="26"/>
        <v>311740</v>
      </c>
      <c r="I100" s="398">
        <f t="shared" si="27"/>
        <v>9.0257658010903657E-2</v>
      </c>
      <c r="J100" s="2"/>
      <c r="K100" s="3"/>
      <c r="L100" s="3"/>
      <c r="M100" s="430">
        <f t="shared" ref="M100:M102" si="28">I100</f>
        <v>9.0257658010903657E-2</v>
      </c>
      <c r="N100" s="3"/>
      <c r="O100" s="3"/>
      <c r="P100" s="3"/>
      <c r="Q100" s="3"/>
      <c r="R100" s="3"/>
      <c r="S100" s="3"/>
      <c r="T100" s="4"/>
    </row>
    <row r="101" spans="2:20" x14ac:dyDescent="0.25">
      <c r="B101" s="2">
        <v>6</v>
      </c>
      <c r="C101" s="14" t="s">
        <v>250</v>
      </c>
      <c r="D101" s="16"/>
      <c r="E101" s="94" t="s">
        <v>286</v>
      </c>
      <c r="F101" s="3">
        <f t="shared" si="25"/>
        <v>4</v>
      </c>
      <c r="G101" s="344">
        <f>HSP!G459</f>
        <v>70697</v>
      </c>
      <c r="H101" s="394">
        <f t="shared" si="26"/>
        <v>282788</v>
      </c>
      <c r="I101" s="398">
        <f t="shared" si="27"/>
        <v>8.187522484630598E-2</v>
      </c>
      <c r="J101" s="2"/>
      <c r="K101" s="3"/>
      <c r="L101" s="3"/>
      <c r="M101" s="430">
        <f t="shared" si="28"/>
        <v>8.187522484630598E-2</v>
      </c>
      <c r="N101" s="3"/>
      <c r="O101" s="3"/>
      <c r="P101" s="3"/>
      <c r="Q101" s="3"/>
      <c r="R101" s="3"/>
      <c r="S101" s="3"/>
      <c r="T101" s="4"/>
    </row>
    <row r="102" spans="2:20" x14ac:dyDescent="0.25">
      <c r="B102" s="2">
        <v>7</v>
      </c>
      <c r="C102" s="14" t="s">
        <v>251</v>
      </c>
      <c r="D102" s="16"/>
      <c r="E102" s="94" t="s">
        <v>286</v>
      </c>
      <c r="F102" s="3">
        <f t="shared" si="25"/>
        <v>1</v>
      </c>
      <c r="G102" s="344">
        <f>HSP!G460</f>
        <v>496870</v>
      </c>
      <c r="H102" s="394">
        <f t="shared" si="26"/>
        <v>496870</v>
      </c>
      <c r="I102" s="398">
        <f t="shared" si="27"/>
        <v>0.14385809500185315</v>
      </c>
      <c r="J102" s="2"/>
      <c r="K102" s="3"/>
      <c r="L102" s="3"/>
      <c r="M102" s="430">
        <f t="shared" si="28"/>
        <v>0.14385809500185315</v>
      </c>
      <c r="N102" s="3"/>
      <c r="O102" s="3"/>
      <c r="P102" s="3"/>
      <c r="Q102" s="3"/>
      <c r="R102" s="3"/>
      <c r="S102" s="3"/>
      <c r="T102" s="4"/>
    </row>
    <row r="103" spans="2:20" x14ac:dyDescent="0.25">
      <c r="B103" s="2">
        <v>8</v>
      </c>
      <c r="C103" s="14" t="s">
        <v>252</v>
      </c>
      <c r="D103" s="16"/>
      <c r="E103" s="94" t="s">
        <v>286</v>
      </c>
      <c r="F103" s="3">
        <f t="shared" si="25"/>
        <v>1</v>
      </c>
      <c r="G103" s="344">
        <f>HSP!G417</f>
        <v>2407185</v>
      </c>
      <c r="H103" s="394">
        <f t="shared" si="26"/>
        <v>2407185</v>
      </c>
      <c r="I103" s="398">
        <f t="shared" si="27"/>
        <v>0.6969489975587897</v>
      </c>
      <c r="J103" s="2"/>
      <c r="K103" s="3"/>
      <c r="L103" s="3"/>
      <c r="M103" s="3"/>
      <c r="N103" s="3"/>
      <c r="O103" s="3"/>
      <c r="P103" s="3"/>
      <c r="Q103" s="3"/>
      <c r="R103" s="3"/>
      <c r="S103" s="430">
        <f>I103</f>
        <v>0.6969489975587897</v>
      </c>
      <c r="T103" s="4"/>
    </row>
    <row r="104" spans="2:20" x14ac:dyDescent="0.25">
      <c r="B104" s="2">
        <v>9</v>
      </c>
      <c r="C104" s="14" t="s">
        <v>253</v>
      </c>
      <c r="D104" s="16"/>
      <c r="E104" s="94" t="s">
        <v>286</v>
      </c>
      <c r="F104" s="3">
        <f t="shared" si="25"/>
        <v>1</v>
      </c>
      <c r="G104" s="344">
        <f>HSP!G426</f>
        <v>611387</v>
      </c>
      <c r="H104" s="394">
        <f t="shared" si="26"/>
        <v>611387</v>
      </c>
      <c r="I104" s="398">
        <f t="shared" si="27"/>
        <v>0.17701404618692615</v>
      </c>
      <c r="J104" s="2"/>
      <c r="K104" s="3"/>
      <c r="L104" s="3"/>
      <c r="M104" s="3"/>
      <c r="N104" s="3"/>
      <c r="O104" s="3"/>
      <c r="P104" s="3"/>
      <c r="Q104" s="3"/>
      <c r="R104" s="3"/>
      <c r="S104" s="430">
        <f>I104</f>
        <v>0.17701404618692615</v>
      </c>
      <c r="T104" s="4"/>
    </row>
    <row r="105" spans="2:20" x14ac:dyDescent="0.25">
      <c r="B105" s="2">
        <v>10</v>
      </c>
      <c r="C105" s="14" t="s">
        <v>254</v>
      </c>
      <c r="D105" s="16"/>
      <c r="E105" s="94" t="s">
        <v>286</v>
      </c>
      <c r="F105" s="3">
        <f t="shared" si="25"/>
        <v>4</v>
      </c>
      <c r="G105" s="344">
        <f>HSP!G435</f>
        <v>110331</v>
      </c>
      <c r="H105" s="394">
        <f t="shared" si="26"/>
        <v>441324</v>
      </c>
      <c r="I105" s="398">
        <f t="shared" si="27"/>
        <v>0.1277759372040933</v>
      </c>
      <c r="J105" s="2"/>
      <c r="K105" s="3"/>
      <c r="L105" s="3"/>
      <c r="M105" s="3"/>
      <c r="N105" s="3"/>
      <c r="O105" s="3"/>
      <c r="P105" s="3"/>
      <c r="Q105" s="3"/>
      <c r="R105" s="3"/>
      <c r="S105" s="430">
        <f>I105</f>
        <v>0.1277759372040933</v>
      </c>
      <c r="T105" s="4"/>
    </row>
    <row r="106" spans="2:20" x14ac:dyDescent="0.25">
      <c r="B106" s="2">
        <v>11</v>
      </c>
      <c r="C106" s="14" t="s">
        <v>255</v>
      </c>
      <c r="D106" s="16"/>
      <c r="E106" s="94" t="s">
        <v>286</v>
      </c>
      <c r="F106" s="3">
        <f t="shared" si="25"/>
        <v>1</v>
      </c>
      <c r="G106" s="344">
        <f>HSP!G430</f>
        <v>328625</v>
      </c>
      <c r="H106" s="394">
        <f t="shared" si="26"/>
        <v>328625</v>
      </c>
      <c r="I106" s="398">
        <f t="shared" si="27"/>
        <v>9.5146349085241597E-2</v>
      </c>
      <c r="J106" s="2"/>
      <c r="K106" s="3"/>
      <c r="L106" s="3"/>
      <c r="M106" s="3"/>
      <c r="N106" s="3"/>
      <c r="O106" s="3"/>
      <c r="P106" s="3"/>
      <c r="Q106" s="3"/>
      <c r="R106" s="3"/>
      <c r="S106" s="430">
        <f>I106</f>
        <v>9.5146349085241597E-2</v>
      </c>
      <c r="T106" s="4"/>
    </row>
    <row r="107" spans="2:20" x14ac:dyDescent="0.25">
      <c r="B107" s="2">
        <v>12</v>
      </c>
      <c r="C107" s="14" t="s">
        <v>256</v>
      </c>
      <c r="D107" s="16"/>
      <c r="E107" s="94" t="s">
        <v>286</v>
      </c>
      <c r="F107" s="3">
        <f t="shared" si="25"/>
        <v>1</v>
      </c>
      <c r="G107" s="362">
        <f>HSP!G428</f>
        <v>678315</v>
      </c>
      <c r="H107" s="395">
        <f t="shared" si="26"/>
        <v>678315</v>
      </c>
      <c r="I107" s="401">
        <f t="shared" si="27"/>
        <v>0.19639161895703508</v>
      </c>
      <c r="J107" s="2"/>
      <c r="K107" s="3"/>
      <c r="L107" s="3"/>
      <c r="M107" s="3"/>
      <c r="N107" s="3"/>
      <c r="O107" s="3"/>
      <c r="P107" s="3"/>
      <c r="Q107" s="3"/>
      <c r="R107" s="3"/>
      <c r="S107" s="430">
        <f>I107</f>
        <v>0.19639161895703508</v>
      </c>
      <c r="T107" s="4"/>
    </row>
    <row r="108" spans="2:20" x14ac:dyDescent="0.25">
      <c r="B108" s="2"/>
      <c r="C108" s="14"/>
      <c r="D108" s="16"/>
      <c r="E108" s="94"/>
      <c r="F108" s="3"/>
      <c r="G108" s="98" t="s">
        <v>342</v>
      </c>
      <c r="H108" s="396">
        <f>SUM(H96:H107)</f>
        <v>8180192</v>
      </c>
      <c r="I108" s="402">
        <f>SUM(I96:I107)</f>
        <v>2.368399858855232</v>
      </c>
      <c r="J108" s="2"/>
      <c r="K108" s="3"/>
      <c r="L108" s="3"/>
      <c r="M108" s="3"/>
      <c r="N108" s="3"/>
      <c r="O108" s="3"/>
      <c r="P108" s="3"/>
      <c r="Q108" s="3"/>
      <c r="R108" s="3"/>
      <c r="S108" s="417"/>
      <c r="T108" s="4"/>
    </row>
    <row r="109" spans="2:20" x14ac:dyDescent="0.25">
      <c r="B109" s="99" t="s">
        <v>16</v>
      </c>
      <c r="C109" s="21" t="s">
        <v>260</v>
      </c>
      <c r="D109" s="405"/>
      <c r="E109" s="94"/>
      <c r="F109" s="3"/>
      <c r="G109" s="3"/>
      <c r="H109" s="14"/>
      <c r="I109" s="398"/>
      <c r="J109" s="2"/>
      <c r="K109" s="3"/>
      <c r="L109" s="3"/>
      <c r="M109" s="3"/>
      <c r="N109" s="3"/>
      <c r="O109" s="3"/>
      <c r="P109" s="3"/>
      <c r="Q109" s="3"/>
      <c r="R109" s="3"/>
      <c r="S109" s="3"/>
      <c r="T109" s="4"/>
    </row>
    <row r="110" spans="2:20" x14ac:dyDescent="0.25">
      <c r="B110" s="2">
        <v>1</v>
      </c>
      <c r="C110" s="14" t="s">
        <v>309</v>
      </c>
      <c r="D110" s="16"/>
      <c r="E110" s="94" t="s">
        <v>282</v>
      </c>
      <c r="F110" s="3">
        <f>VLOOKUP(C110,RekapVolume,3,FALSE)</f>
        <v>320.81</v>
      </c>
      <c r="G110" s="344">
        <f>HSP!G402</f>
        <v>37532</v>
      </c>
      <c r="H110" s="394">
        <f t="shared" ref="H110:H113" si="29">F110*G110</f>
        <v>12040640.92</v>
      </c>
      <c r="I110" s="398">
        <f t="shared" ref="I110:I113" si="30">H110/$H$136*100</f>
        <v>3.4861103816945285</v>
      </c>
      <c r="J110" s="2"/>
      <c r="K110" s="3"/>
      <c r="L110" s="3"/>
      <c r="M110" s="3"/>
      <c r="N110" s="3"/>
      <c r="O110" s="3"/>
      <c r="P110" s="3"/>
      <c r="Q110" s="3"/>
      <c r="R110" s="3"/>
      <c r="S110" s="430">
        <f>$I$110/2</f>
        <v>1.7430551908472642</v>
      </c>
      <c r="T110" s="434">
        <f>$I$110/2</f>
        <v>1.7430551908472642</v>
      </c>
    </row>
    <row r="111" spans="2:20" x14ac:dyDescent="0.25">
      <c r="B111" s="2">
        <v>2</v>
      </c>
      <c r="C111" s="14" t="s">
        <v>310</v>
      </c>
      <c r="D111" s="16"/>
      <c r="E111" s="94" t="s">
        <v>282</v>
      </c>
      <c r="F111" s="3">
        <f>VLOOKUP(C111,RekapVolume,3,FALSE)</f>
        <v>80</v>
      </c>
      <c r="G111" s="344">
        <f>HSP!G402</f>
        <v>37532</v>
      </c>
      <c r="H111" s="394">
        <f t="shared" si="29"/>
        <v>3002560</v>
      </c>
      <c r="I111" s="398">
        <f t="shared" si="30"/>
        <v>0.86932711117347439</v>
      </c>
      <c r="J111" s="2"/>
      <c r="K111" s="3"/>
      <c r="L111" s="3"/>
      <c r="M111" s="3"/>
      <c r="N111" s="3"/>
      <c r="O111" s="3"/>
      <c r="P111" s="3"/>
      <c r="Q111" s="3"/>
      <c r="R111" s="3"/>
      <c r="S111" s="430">
        <f>I111</f>
        <v>0.86932711117347439</v>
      </c>
      <c r="T111" s="4"/>
    </row>
    <row r="112" spans="2:20" x14ac:dyDescent="0.25">
      <c r="B112" s="2">
        <v>3</v>
      </c>
      <c r="C112" s="14" t="s">
        <v>311</v>
      </c>
      <c r="D112" s="16"/>
      <c r="E112" s="94" t="s">
        <v>282</v>
      </c>
      <c r="F112" s="3">
        <f>VLOOKUP(C112,RekapVolume,3,FALSE)</f>
        <v>6.0587999999999997</v>
      </c>
      <c r="G112" s="344">
        <f>HSP!G408</f>
        <v>43847</v>
      </c>
      <c r="H112" s="394">
        <f t="shared" si="29"/>
        <v>265660.20360000001</v>
      </c>
      <c r="I112" s="398">
        <f t="shared" si="30"/>
        <v>7.6916237260652595E-2</v>
      </c>
      <c r="J112" s="2"/>
      <c r="K112" s="3"/>
      <c r="L112" s="3"/>
      <c r="M112" s="3"/>
      <c r="N112" s="3"/>
      <c r="O112" s="3"/>
      <c r="P112" s="3"/>
      <c r="Q112" s="3"/>
      <c r="R112" s="3"/>
      <c r="S112" s="430">
        <f>I112</f>
        <v>7.6916237260652595E-2</v>
      </c>
      <c r="T112" s="4"/>
    </row>
    <row r="113" spans="2:20" x14ac:dyDescent="0.25">
      <c r="B113" s="2">
        <v>4</v>
      </c>
      <c r="C113" s="14" t="s">
        <v>312</v>
      </c>
      <c r="D113" s="16"/>
      <c r="E113" s="94" t="s">
        <v>282</v>
      </c>
      <c r="F113" s="3">
        <f>VLOOKUP(C113,RekapVolume,3,FALSE)</f>
        <v>6.0587999999999997</v>
      </c>
      <c r="G113" s="362">
        <f>HSP!G396</f>
        <v>52538</v>
      </c>
      <c r="H113" s="395">
        <f t="shared" si="29"/>
        <v>318317.23439999996</v>
      </c>
      <c r="I113" s="401">
        <f t="shared" si="30"/>
        <v>9.2161955736998313E-2</v>
      </c>
      <c r="J113" s="2"/>
      <c r="K113" s="3"/>
      <c r="L113" s="3"/>
      <c r="M113" s="3"/>
      <c r="N113" s="3"/>
      <c r="O113" s="3"/>
      <c r="P113" s="3"/>
      <c r="Q113" s="3"/>
      <c r="R113" s="3"/>
      <c r="S113" s="430">
        <f>$I$113/2</f>
        <v>4.6080977868499157E-2</v>
      </c>
      <c r="T113" s="434">
        <f>$I$113/2</f>
        <v>4.6080977868499157E-2</v>
      </c>
    </row>
    <row r="114" spans="2:20" x14ac:dyDescent="0.25">
      <c r="B114" s="2"/>
      <c r="C114" s="14"/>
      <c r="D114" s="16"/>
      <c r="E114" s="94"/>
      <c r="F114" s="3"/>
      <c r="G114" s="98" t="s">
        <v>343</v>
      </c>
      <c r="H114" s="396">
        <f>SUM(H110:H113)</f>
        <v>15627178.358000001</v>
      </c>
      <c r="I114" s="402">
        <f>SUM(I110:I113)</f>
        <v>4.5245156858656532</v>
      </c>
      <c r="J114" s="2"/>
      <c r="K114" s="3"/>
      <c r="L114" s="3"/>
      <c r="M114" s="3"/>
      <c r="N114" s="3"/>
      <c r="O114" s="3"/>
      <c r="P114" s="3"/>
      <c r="Q114" s="3"/>
      <c r="R114" s="3"/>
      <c r="S114" s="3"/>
      <c r="T114" s="4"/>
    </row>
    <row r="115" spans="2:20" x14ac:dyDescent="0.25">
      <c r="B115" s="99" t="s">
        <v>270</v>
      </c>
      <c r="C115" s="21" t="s">
        <v>271</v>
      </c>
      <c r="D115" s="405"/>
      <c r="E115" s="94"/>
      <c r="F115" s="3"/>
      <c r="G115" s="3"/>
      <c r="H115" s="14"/>
      <c r="I115" s="398"/>
      <c r="J115" s="2"/>
      <c r="K115" s="3"/>
      <c r="L115" s="3"/>
      <c r="M115" s="3"/>
      <c r="N115" s="3"/>
      <c r="O115" s="3"/>
      <c r="P115" s="3"/>
      <c r="Q115" s="3"/>
      <c r="R115" s="3"/>
      <c r="S115" s="3"/>
      <c r="T115" s="4"/>
    </row>
    <row r="116" spans="2:20" x14ac:dyDescent="0.25">
      <c r="B116" s="2">
        <v>1</v>
      </c>
      <c r="C116" s="14" t="s">
        <v>272</v>
      </c>
      <c r="D116" s="16"/>
      <c r="E116" s="94" t="s">
        <v>283</v>
      </c>
      <c r="F116" s="3">
        <f t="shared" ref="F116:F131" si="31">VLOOKUP(C116,RekapVolume,3,FALSE)</f>
        <v>12.774000000000001</v>
      </c>
      <c r="G116" s="344">
        <f>HSP!G28</f>
        <v>107800</v>
      </c>
      <c r="H116" s="394">
        <f t="shared" ref="H116:H131" si="32">F116*G116</f>
        <v>1377037.2000000002</v>
      </c>
      <c r="I116" s="398">
        <f t="shared" ref="I116:I131" si="33">H116/$H$136*100</f>
        <v>0.39869170676170002</v>
      </c>
      <c r="J116" s="2"/>
      <c r="K116" s="430">
        <f>$I$116/2</f>
        <v>0.19934585338085001</v>
      </c>
      <c r="L116" s="430">
        <f>$I$116/2</f>
        <v>0.19934585338085001</v>
      </c>
      <c r="M116" s="3"/>
      <c r="N116" s="3"/>
      <c r="O116" s="3"/>
      <c r="P116" s="3"/>
      <c r="Q116" s="3"/>
      <c r="R116" s="3"/>
      <c r="S116" s="3"/>
      <c r="T116" s="4"/>
    </row>
    <row r="117" spans="2:20" x14ac:dyDescent="0.25">
      <c r="B117" s="2">
        <v>2</v>
      </c>
      <c r="C117" s="14" t="s">
        <v>276</v>
      </c>
      <c r="D117" s="16"/>
      <c r="E117" s="94" t="s">
        <v>282</v>
      </c>
      <c r="F117" s="3">
        <f t="shared" si="31"/>
        <v>24.959999999999997</v>
      </c>
      <c r="G117" s="344">
        <f>HSP!G177</f>
        <v>108051</v>
      </c>
      <c r="H117" s="394">
        <f t="shared" si="32"/>
        <v>2696952.9599999995</v>
      </c>
      <c r="I117" s="398">
        <f t="shared" si="33"/>
        <v>0.78084512072616374</v>
      </c>
      <c r="J117" s="2"/>
      <c r="K117" s="430">
        <f>$I$117/2</f>
        <v>0.39042256036308187</v>
      </c>
      <c r="L117" s="430">
        <f>$I$117/2</f>
        <v>0.39042256036308187</v>
      </c>
      <c r="M117" s="3"/>
      <c r="N117" s="3"/>
      <c r="O117" s="3"/>
      <c r="P117" s="3"/>
      <c r="Q117" s="3"/>
      <c r="R117" s="3"/>
      <c r="S117" s="3"/>
      <c r="T117" s="4"/>
    </row>
    <row r="118" spans="2:20" x14ac:dyDescent="0.25">
      <c r="B118" s="2">
        <v>3</v>
      </c>
      <c r="C118" s="14" t="s">
        <v>313</v>
      </c>
      <c r="D118" s="16"/>
      <c r="E118" s="94" t="s">
        <v>283</v>
      </c>
      <c r="F118" s="3">
        <f t="shared" si="31"/>
        <v>0.432</v>
      </c>
      <c r="G118" s="344">
        <f>HSP!G52</f>
        <v>885381</v>
      </c>
      <c r="H118" s="394">
        <f t="shared" si="32"/>
        <v>382484.592</v>
      </c>
      <c r="I118" s="398">
        <f t="shared" si="33"/>
        <v>0.11074024346948103</v>
      </c>
      <c r="J118" s="2"/>
      <c r="K118" s="430">
        <f>$I$118/2</f>
        <v>5.5370121734740513E-2</v>
      </c>
      <c r="L118" s="430">
        <f>$I$118/2</f>
        <v>5.5370121734740513E-2</v>
      </c>
      <c r="M118" s="3"/>
      <c r="N118" s="3"/>
      <c r="O118" s="3"/>
      <c r="P118" s="3"/>
      <c r="Q118" s="3"/>
      <c r="R118" s="3"/>
      <c r="S118" s="3"/>
      <c r="T118" s="4"/>
    </row>
    <row r="119" spans="2:20" x14ac:dyDescent="0.25">
      <c r="B119" s="2">
        <v>4</v>
      </c>
      <c r="C119" s="14" t="s">
        <v>1898</v>
      </c>
      <c r="D119" s="16"/>
      <c r="E119" s="94" t="s">
        <v>283</v>
      </c>
      <c r="F119" s="3">
        <f t="shared" si="31"/>
        <v>0.42750000000000005</v>
      </c>
      <c r="G119" s="344">
        <f>HSP!G38</f>
        <v>440426</v>
      </c>
      <c r="H119" s="394">
        <f t="shared" si="32"/>
        <v>188282.11500000002</v>
      </c>
      <c r="I119" s="398">
        <f t="shared" si="33"/>
        <v>5.4513064557771336E-2</v>
      </c>
      <c r="J119" s="2"/>
      <c r="K119" s="430">
        <f>$I$119/2</f>
        <v>2.7256532278885668E-2</v>
      </c>
      <c r="L119" s="430">
        <f>$I$119/2</f>
        <v>2.7256532278885668E-2</v>
      </c>
      <c r="M119" s="3"/>
      <c r="N119" s="3"/>
      <c r="O119" s="3"/>
      <c r="P119" s="3"/>
      <c r="Q119" s="3"/>
      <c r="R119" s="3"/>
      <c r="S119" s="3"/>
      <c r="T119" s="4"/>
    </row>
    <row r="120" spans="2:20" x14ac:dyDescent="0.25">
      <c r="B120" s="2">
        <v>5</v>
      </c>
      <c r="C120" s="14" t="s">
        <v>314</v>
      </c>
      <c r="D120" s="16"/>
      <c r="E120" s="94" t="s">
        <v>283</v>
      </c>
      <c r="F120" s="3">
        <f t="shared" si="31"/>
        <v>0.432</v>
      </c>
      <c r="G120" s="344">
        <f>HSP!G41</f>
        <v>401852</v>
      </c>
      <c r="H120" s="394">
        <f t="shared" si="32"/>
        <v>173600.06399999998</v>
      </c>
      <c r="I120" s="398">
        <f t="shared" si="33"/>
        <v>5.0262190309819037E-2</v>
      </c>
      <c r="J120" s="2"/>
      <c r="K120" s="3"/>
      <c r="L120" s="430">
        <f>I120</f>
        <v>5.0262190309819037E-2</v>
      </c>
      <c r="M120" s="3"/>
      <c r="N120" s="3"/>
      <c r="O120" s="3"/>
      <c r="P120" s="3"/>
      <c r="Q120" s="3"/>
      <c r="R120" s="3"/>
      <c r="S120" s="3"/>
      <c r="T120" s="4"/>
    </row>
    <row r="121" spans="2:20" x14ac:dyDescent="0.25">
      <c r="B121" s="2">
        <v>6</v>
      </c>
      <c r="C121" s="14" t="s">
        <v>1899</v>
      </c>
      <c r="D121" s="16"/>
      <c r="E121" s="94" t="s">
        <v>283</v>
      </c>
      <c r="F121" s="3">
        <f t="shared" si="31"/>
        <v>0.432</v>
      </c>
      <c r="G121" s="344">
        <f>HSP!G41</f>
        <v>401852</v>
      </c>
      <c r="H121" s="394">
        <f t="shared" si="32"/>
        <v>173600.06399999998</v>
      </c>
      <c r="I121" s="398">
        <f t="shared" si="33"/>
        <v>5.0262190309819037E-2</v>
      </c>
      <c r="J121" s="2"/>
      <c r="K121" s="3"/>
      <c r="L121" s="430">
        <f>I121</f>
        <v>5.0262190309819037E-2</v>
      </c>
      <c r="M121" s="3"/>
      <c r="N121" s="3"/>
      <c r="O121" s="3"/>
      <c r="P121" s="3"/>
      <c r="Q121" s="3"/>
      <c r="R121" s="3"/>
      <c r="S121" s="3"/>
      <c r="T121" s="4"/>
    </row>
    <row r="122" spans="2:20" x14ac:dyDescent="0.25">
      <c r="B122" s="2">
        <v>7</v>
      </c>
      <c r="C122" s="14" t="s">
        <v>315</v>
      </c>
      <c r="D122" s="16"/>
      <c r="E122" s="94" t="s">
        <v>282</v>
      </c>
      <c r="F122" s="3">
        <f t="shared" si="31"/>
        <v>5.1199999999999992</v>
      </c>
      <c r="G122" s="344">
        <f>HSP!G40/2</f>
        <v>808665</v>
      </c>
      <c r="H122" s="394">
        <f t="shared" si="32"/>
        <v>4140364.7999999993</v>
      </c>
      <c r="I122" s="398">
        <f t="shared" si="33"/>
        <v>1.1987541866901374</v>
      </c>
      <c r="J122" s="2"/>
      <c r="K122" s="3"/>
      <c r="L122" s="430">
        <f>I122</f>
        <v>1.1987541866901374</v>
      </c>
      <c r="M122" s="3"/>
      <c r="N122" s="3"/>
      <c r="O122" s="3"/>
      <c r="P122" s="3"/>
      <c r="Q122" s="3"/>
      <c r="R122" s="3"/>
      <c r="S122" s="3"/>
      <c r="T122" s="4"/>
    </row>
    <row r="123" spans="2:20" x14ac:dyDescent="0.25">
      <c r="B123" s="2">
        <v>8</v>
      </c>
      <c r="C123" s="14" t="s">
        <v>316</v>
      </c>
      <c r="D123" s="16"/>
      <c r="E123" s="94" t="s">
        <v>283</v>
      </c>
      <c r="F123" s="3">
        <f t="shared" si="31"/>
        <v>0.28350000000000003</v>
      </c>
      <c r="G123" s="344">
        <f>HSP!G86</f>
        <v>7336880</v>
      </c>
      <c r="H123" s="394">
        <f t="shared" si="32"/>
        <v>2080005.4800000002</v>
      </c>
      <c r="I123" s="398">
        <f t="shared" si="33"/>
        <v>0.60222115633106288</v>
      </c>
      <c r="J123" s="2"/>
      <c r="K123" s="3"/>
      <c r="L123" s="3"/>
      <c r="M123" s="3"/>
      <c r="N123" s="430">
        <f>I123</f>
        <v>0.60222115633106288</v>
      </c>
      <c r="O123" s="3"/>
      <c r="P123" s="3"/>
      <c r="Q123" s="3"/>
      <c r="R123" s="3"/>
      <c r="S123" s="3"/>
      <c r="T123" s="4"/>
    </row>
    <row r="124" spans="2:20" x14ac:dyDescent="0.25">
      <c r="B124" s="2">
        <v>9</v>
      </c>
      <c r="C124" s="14" t="s">
        <v>317</v>
      </c>
      <c r="D124" s="16"/>
      <c r="E124" s="94" t="s">
        <v>283</v>
      </c>
      <c r="F124" s="3">
        <f t="shared" si="31"/>
        <v>0.20249999999999999</v>
      </c>
      <c r="G124" s="344">
        <f>HSP!G89</f>
        <v>8939854</v>
      </c>
      <c r="H124" s="394">
        <f t="shared" si="32"/>
        <v>1810320.4349999998</v>
      </c>
      <c r="I124" s="398">
        <f t="shared" si="33"/>
        <v>0.52413961221652772</v>
      </c>
      <c r="J124" s="2"/>
      <c r="K124" s="3"/>
      <c r="L124" s="3"/>
      <c r="M124" s="430">
        <f t="shared" ref="M124:M127" si="34">I124</f>
        <v>0.52413961221652772</v>
      </c>
      <c r="N124" s="3"/>
      <c r="O124" s="3"/>
      <c r="P124" s="3"/>
      <c r="Q124" s="3"/>
      <c r="R124" s="3"/>
      <c r="S124" s="3"/>
      <c r="T124" s="4"/>
    </row>
    <row r="125" spans="2:20" x14ac:dyDescent="0.25">
      <c r="B125" s="2">
        <v>10</v>
      </c>
      <c r="C125" s="14" t="s">
        <v>318</v>
      </c>
      <c r="D125" s="16"/>
      <c r="E125" s="94" t="s">
        <v>283</v>
      </c>
      <c r="F125" s="3">
        <f t="shared" si="31"/>
        <v>0.11199999999999999</v>
      </c>
      <c r="G125" s="344">
        <f>HSP!G89</f>
        <v>8939854</v>
      </c>
      <c r="H125" s="394">
        <f t="shared" si="32"/>
        <v>1001263.6479999999</v>
      </c>
      <c r="I125" s="398">
        <f t="shared" si="33"/>
        <v>0.2898945015716104</v>
      </c>
      <c r="J125" s="2"/>
      <c r="K125" s="3"/>
      <c r="L125" s="3"/>
      <c r="M125" s="430">
        <f t="shared" si="34"/>
        <v>0.2898945015716104</v>
      </c>
      <c r="N125" s="3"/>
      <c r="O125" s="3"/>
      <c r="P125" s="3"/>
      <c r="Q125" s="3"/>
      <c r="R125" s="3"/>
      <c r="S125" s="3"/>
      <c r="T125" s="4"/>
    </row>
    <row r="126" spans="2:20" x14ac:dyDescent="0.25">
      <c r="B126" s="2">
        <v>11</v>
      </c>
      <c r="C126" s="14" t="s">
        <v>319</v>
      </c>
      <c r="D126" s="16"/>
      <c r="E126" s="94" t="s">
        <v>283</v>
      </c>
      <c r="F126" s="3">
        <f t="shared" si="31"/>
        <v>0.24975</v>
      </c>
      <c r="G126" s="344">
        <f>HSP!G86</f>
        <v>7336880</v>
      </c>
      <c r="H126" s="394">
        <f t="shared" si="32"/>
        <v>1832385.78</v>
      </c>
      <c r="I126" s="398">
        <f t="shared" si="33"/>
        <v>0.5305281615297458</v>
      </c>
      <c r="J126" s="2"/>
      <c r="K126" s="3"/>
      <c r="L126" s="3"/>
      <c r="M126" s="430">
        <f t="shared" si="34"/>
        <v>0.5305281615297458</v>
      </c>
      <c r="N126" s="3"/>
      <c r="O126" s="3"/>
      <c r="P126" s="3"/>
      <c r="Q126" s="3"/>
      <c r="R126" s="3"/>
      <c r="S126" s="3"/>
      <c r="T126" s="4"/>
    </row>
    <row r="127" spans="2:20" x14ac:dyDescent="0.25">
      <c r="B127" s="2">
        <v>12</v>
      </c>
      <c r="C127" s="14" t="s">
        <v>320</v>
      </c>
      <c r="D127" s="16"/>
      <c r="E127" s="94" t="s">
        <v>283</v>
      </c>
      <c r="F127" s="3">
        <f t="shared" si="31"/>
        <v>0.16800000000000001</v>
      </c>
      <c r="G127" s="344">
        <f>HSP!G86</f>
        <v>7336880</v>
      </c>
      <c r="H127" s="394">
        <f t="shared" si="32"/>
        <v>1232595.8400000001</v>
      </c>
      <c r="I127" s="398">
        <f t="shared" si="33"/>
        <v>0.35687179634433353</v>
      </c>
      <c r="J127" s="2"/>
      <c r="K127" s="3"/>
      <c r="L127" s="3"/>
      <c r="M127" s="430">
        <f t="shared" si="34"/>
        <v>0.35687179634433353</v>
      </c>
      <c r="N127" s="417"/>
      <c r="O127" s="3"/>
      <c r="P127" s="3"/>
      <c r="Q127" s="3"/>
      <c r="R127" s="3"/>
      <c r="S127" s="3"/>
      <c r="T127" s="4"/>
    </row>
    <row r="128" spans="2:20" x14ac:dyDescent="0.25">
      <c r="B128" s="2">
        <v>13</v>
      </c>
      <c r="C128" s="14" t="s">
        <v>321</v>
      </c>
      <c r="D128" s="16"/>
      <c r="E128" s="94" t="s">
        <v>283</v>
      </c>
      <c r="F128" s="3">
        <f t="shared" si="31"/>
        <v>0.59075</v>
      </c>
      <c r="G128" s="344">
        <f>HSP!G89</f>
        <v>8939854</v>
      </c>
      <c r="H128" s="394">
        <f t="shared" si="32"/>
        <v>5281218.7505000001</v>
      </c>
      <c r="I128" s="398">
        <f t="shared" si="33"/>
        <v>1.5290640786020433</v>
      </c>
      <c r="J128" s="2"/>
      <c r="K128" s="3"/>
      <c r="L128" s="3"/>
      <c r="M128" s="3"/>
      <c r="N128" s="430">
        <f>I128</f>
        <v>1.5290640786020433</v>
      </c>
      <c r="O128" s="3"/>
      <c r="P128" s="3"/>
      <c r="Q128" s="3"/>
      <c r="R128" s="3"/>
      <c r="S128" s="3"/>
      <c r="T128" s="4"/>
    </row>
    <row r="129" spans="2:20" x14ac:dyDescent="0.25">
      <c r="B129" s="2">
        <v>14</v>
      </c>
      <c r="C129" s="14" t="s">
        <v>322</v>
      </c>
      <c r="D129" s="16"/>
      <c r="E129" s="94" t="s">
        <v>284</v>
      </c>
      <c r="F129" s="3">
        <f t="shared" si="31"/>
        <v>3</v>
      </c>
      <c r="G129" s="344">
        <f>HSP!G448</f>
        <v>154222</v>
      </c>
      <c r="H129" s="394">
        <f t="shared" si="32"/>
        <v>462666</v>
      </c>
      <c r="I129" s="398">
        <f t="shared" si="33"/>
        <v>0.13395505742372732</v>
      </c>
      <c r="J129" s="2"/>
      <c r="K129" s="3"/>
      <c r="L129" s="3"/>
      <c r="M129" s="3"/>
      <c r="N129" s="430">
        <f>I129</f>
        <v>0.13395505742372732</v>
      </c>
      <c r="O129" s="3"/>
      <c r="P129" s="3"/>
      <c r="Q129" s="3"/>
      <c r="R129" s="3"/>
      <c r="S129" s="3"/>
      <c r="T129" s="4"/>
    </row>
    <row r="130" spans="2:20" x14ac:dyDescent="0.25">
      <c r="B130" s="2">
        <v>15</v>
      </c>
      <c r="C130" s="14" t="s">
        <v>323</v>
      </c>
      <c r="D130" s="16"/>
      <c r="E130" s="94" t="s">
        <v>286</v>
      </c>
      <c r="F130" s="3">
        <f t="shared" si="31"/>
        <v>1</v>
      </c>
      <c r="G130" s="363">
        <v>100000</v>
      </c>
      <c r="H130" s="394">
        <f t="shared" si="32"/>
        <v>100000</v>
      </c>
      <c r="I130" s="398">
        <f t="shared" si="33"/>
        <v>2.8952863928563437E-2</v>
      </c>
      <c r="J130" s="2"/>
      <c r="K130" s="3"/>
      <c r="L130" s="3"/>
      <c r="M130" s="3"/>
      <c r="N130" s="430">
        <f>I130</f>
        <v>2.8952863928563437E-2</v>
      </c>
      <c r="O130" s="3"/>
      <c r="P130" s="3"/>
      <c r="Q130" s="3"/>
      <c r="R130" s="3"/>
      <c r="S130" s="3"/>
      <c r="T130" s="4"/>
    </row>
    <row r="131" spans="2:20" x14ac:dyDescent="0.25">
      <c r="B131" s="2">
        <v>16</v>
      </c>
      <c r="C131" s="14" t="s">
        <v>324</v>
      </c>
      <c r="D131" s="16"/>
      <c r="E131" s="94" t="s">
        <v>283</v>
      </c>
      <c r="F131" s="3">
        <f t="shared" si="31"/>
        <v>34.14</v>
      </c>
      <c r="G131" s="362">
        <f>HSP!G157</f>
        <v>178223</v>
      </c>
      <c r="H131" s="395">
        <f t="shared" si="32"/>
        <v>6084533.2199999997</v>
      </c>
      <c r="I131" s="401">
        <f t="shared" si="33"/>
        <v>1.7616466238748394</v>
      </c>
      <c r="J131" s="2"/>
      <c r="K131" s="3"/>
      <c r="L131" s="431">
        <f>$I$131/2</f>
        <v>0.8808233119374197</v>
      </c>
      <c r="M131" s="431">
        <f>$I$131/2</f>
        <v>0.8808233119374197</v>
      </c>
      <c r="N131" s="3"/>
      <c r="O131" s="3"/>
      <c r="P131" s="3"/>
      <c r="Q131" s="3"/>
      <c r="R131" s="3"/>
      <c r="S131" s="3"/>
      <c r="T131" s="4"/>
    </row>
    <row r="132" spans="2:20" x14ac:dyDescent="0.25">
      <c r="B132" s="2"/>
      <c r="C132" s="14"/>
      <c r="D132" s="16"/>
      <c r="E132" s="94"/>
      <c r="F132" s="3"/>
      <c r="G132" s="98" t="s">
        <v>344</v>
      </c>
      <c r="H132" s="396">
        <f>SUM(H116:H131)</f>
        <v>29017310.9485</v>
      </c>
      <c r="I132" s="402">
        <f>SUM(I116:I131)</f>
        <v>8.4013425546473446</v>
      </c>
      <c r="J132" s="2"/>
      <c r="K132" s="3"/>
      <c r="L132" s="3"/>
      <c r="M132" s="3"/>
      <c r="N132" s="3"/>
      <c r="O132" s="3"/>
      <c r="P132" s="3"/>
      <c r="Q132" s="3"/>
      <c r="R132" s="3"/>
      <c r="S132" s="3"/>
      <c r="T132" s="4"/>
    </row>
    <row r="133" spans="2:20" x14ac:dyDescent="0.25">
      <c r="B133" s="99" t="s">
        <v>325</v>
      </c>
      <c r="C133" s="21" t="s">
        <v>326</v>
      </c>
      <c r="D133" s="405"/>
      <c r="E133" s="94"/>
      <c r="F133" s="3"/>
      <c r="G133" s="3"/>
      <c r="H133" s="14"/>
      <c r="I133" s="398"/>
      <c r="J133" s="2"/>
      <c r="K133" s="3"/>
      <c r="L133" s="3"/>
      <c r="M133" s="3"/>
      <c r="N133" s="3"/>
      <c r="O133" s="3"/>
      <c r="P133" s="3"/>
      <c r="Q133" s="3"/>
      <c r="R133" s="3"/>
      <c r="S133" s="3"/>
      <c r="T133" s="4"/>
    </row>
    <row r="134" spans="2:20" x14ac:dyDescent="0.25">
      <c r="B134" s="2">
        <v>1</v>
      </c>
      <c r="C134" s="14" t="s">
        <v>327</v>
      </c>
      <c r="D134" s="16"/>
      <c r="E134" s="94" t="s">
        <v>816</v>
      </c>
      <c r="F134" s="3">
        <f>F27</f>
        <v>200</v>
      </c>
      <c r="G134" s="362">
        <f>G27/3</f>
        <v>7700</v>
      </c>
      <c r="H134" s="395">
        <f>F134*G134</f>
        <v>1540000</v>
      </c>
      <c r="I134" s="401">
        <f t="shared" ref="I134" si="35">H134/$H$136*100</f>
        <v>0.44587410449987691</v>
      </c>
      <c r="J134" s="2"/>
      <c r="K134" s="3"/>
      <c r="L134" s="3"/>
      <c r="M134" s="3"/>
      <c r="N134" s="3"/>
      <c r="O134" s="3"/>
      <c r="P134" s="3"/>
      <c r="Q134" s="3"/>
      <c r="R134" s="3"/>
      <c r="S134" s="3"/>
      <c r="T134" s="434">
        <f>I134</f>
        <v>0.44587410449987691</v>
      </c>
    </row>
    <row r="135" spans="2:20" x14ac:dyDescent="0.25">
      <c r="B135" s="389"/>
      <c r="C135" s="406"/>
      <c r="D135" s="367"/>
      <c r="E135" s="390"/>
      <c r="F135" s="96"/>
      <c r="G135" s="391" t="s">
        <v>345</v>
      </c>
      <c r="H135" s="397">
        <f>SUM(H134)</f>
        <v>1540000</v>
      </c>
      <c r="I135" s="403">
        <f>SUM(I134)</f>
        <v>0.44587410449987691</v>
      </c>
      <c r="J135" s="389"/>
      <c r="K135" s="96"/>
      <c r="L135" s="96"/>
      <c r="M135" s="96"/>
      <c r="N135" s="96"/>
      <c r="O135" s="96"/>
      <c r="P135" s="96"/>
      <c r="Q135" s="96"/>
      <c r="R135" s="96"/>
      <c r="S135" s="96"/>
      <c r="T135" s="427"/>
    </row>
    <row r="136" spans="2:20" ht="15" customHeight="1" x14ac:dyDescent="0.25">
      <c r="B136" s="506" t="s">
        <v>1948</v>
      </c>
      <c r="C136" s="507"/>
      <c r="D136" s="407" t="s">
        <v>1946</v>
      </c>
      <c r="E136" s="408"/>
      <c r="F136" s="409"/>
      <c r="G136" s="410" t="s">
        <v>1937</v>
      </c>
      <c r="H136" s="411">
        <f>H31+H37+H44+H66+H74+H81+H85+H94+H108+H114+H132+H135</f>
        <v>345388975.15193665</v>
      </c>
      <c r="I136" s="412">
        <f>I31+I37+I44+I66+I74+I81+I85+I94+I108+I114+I132+I135</f>
        <v>100.00000000000003</v>
      </c>
      <c r="J136" s="418">
        <f>SUM(J26:J135)</f>
        <v>3.6492349527433934</v>
      </c>
      <c r="K136" s="419">
        <f t="shared" ref="K136:T136" si="36">SUM(K26:K135)</f>
        <v>5.9743317069915962</v>
      </c>
      <c r="L136" s="419">
        <f t="shared" si="36"/>
        <v>12.569092263912223</v>
      </c>
      <c r="M136" s="419">
        <f t="shared" si="36"/>
        <v>13.710058179323209</v>
      </c>
      <c r="N136" s="419">
        <f t="shared" si="36"/>
        <v>9.9486083886002987</v>
      </c>
      <c r="O136" s="419">
        <f t="shared" si="36"/>
        <v>13.391601989904967</v>
      </c>
      <c r="P136" s="419">
        <f t="shared" si="36"/>
        <v>12.388168628732886</v>
      </c>
      <c r="Q136" s="419">
        <f t="shared" si="36"/>
        <v>8.6269039076269198</v>
      </c>
      <c r="R136" s="419">
        <f t="shared" si="36"/>
        <v>10.770950419490076</v>
      </c>
      <c r="S136" s="419">
        <f t="shared" si="36"/>
        <v>5.9691801082332248</v>
      </c>
      <c r="T136" s="420">
        <f t="shared" si="36"/>
        <v>2.9813826780864057</v>
      </c>
    </row>
    <row r="137" spans="2:20" ht="15.75" customHeight="1" thickBot="1" x14ac:dyDescent="0.3">
      <c r="B137" s="508"/>
      <c r="C137" s="509"/>
      <c r="D137" s="413" t="s">
        <v>1947</v>
      </c>
      <c r="E137" s="91"/>
      <c r="F137" s="414"/>
      <c r="G137" s="414"/>
      <c r="H137" s="414"/>
      <c r="I137" s="415">
        <v>0</v>
      </c>
      <c r="J137" s="421">
        <f>I137+J136</f>
        <v>3.6492349527433934</v>
      </c>
      <c r="K137" s="422">
        <f>J137+K136</f>
        <v>9.6235666597349905</v>
      </c>
      <c r="L137" s="422">
        <f t="shared" ref="L137:T137" si="37">K137+L136</f>
        <v>22.192658923647215</v>
      </c>
      <c r="M137" s="422">
        <f t="shared" si="37"/>
        <v>35.902717102970428</v>
      </c>
      <c r="N137" s="422">
        <f t="shared" si="37"/>
        <v>45.851325491570726</v>
      </c>
      <c r="O137" s="422">
        <f t="shared" si="37"/>
        <v>59.242927481475689</v>
      </c>
      <c r="P137" s="422">
        <f t="shared" si="37"/>
        <v>71.631096110208574</v>
      </c>
      <c r="Q137" s="422">
        <f t="shared" si="37"/>
        <v>80.258000017835499</v>
      </c>
      <c r="R137" s="422">
        <f t="shared" si="37"/>
        <v>91.028950437325577</v>
      </c>
      <c r="S137" s="422">
        <f t="shared" si="37"/>
        <v>96.998130545558809</v>
      </c>
      <c r="T137" s="423">
        <f t="shared" si="37"/>
        <v>99.979513223645213</v>
      </c>
    </row>
    <row r="138" spans="2:20" ht="15.75" thickTop="1" x14ac:dyDescent="0.25">
      <c r="J138">
        <f>SUM(J26:J136)</f>
        <v>7.2984699054867868</v>
      </c>
    </row>
  </sheetData>
  <mergeCells count="11">
    <mergeCell ref="B21:T21"/>
    <mergeCell ref="B136:C137"/>
    <mergeCell ref="J24:M24"/>
    <mergeCell ref="N24:Q24"/>
    <mergeCell ref="R24:T24"/>
    <mergeCell ref="I24:I25"/>
    <mergeCell ref="B24:B25"/>
    <mergeCell ref="E24:E25"/>
    <mergeCell ref="F24:F25"/>
    <mergeCell ref="G24:H24"/>
    <mergeCell ref="C24:D25"/>
  </mergeCells>
  <printOptions horizontalCentered="1"/>
  <pageMargins left="0.2" right="0.2" top="0.5" bottom="0.14000000000000001" header="0.3" footer="0.02"/>
  <pageSetup paperSize="8" scale="66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B80E-FF8D-4A63-9361-4F83CF8C7FF8}">
  <dimension ref="B3:G121"/>
  <sheetViews>
    <sheetView showGridLines="0" zoomScaleNormal="100" zoomScaleSheetLayoutView="100" workbookViewId="0">
      <selection activeCell="D12" sqref="D12"/>
    </sheetView>
  </sheetViews>
  <sheetFormatPr defaultRowHeight="15" x14ac:dyDescent="0.25"/>
  <cols>
    <col min="2" max="2" width="5.42578125" customWidth="1"/>
    <col min="3" max="3" width="45.7109375" customWidth="1"/>
    <col min="4" max="4" width="8.28515625" style="87" customWidth="1"/>
    <col min="5" max="5" width="11.42578125" customWidth="1"/>
    <col min="6" max="7" width="17.85546875" customWidth="1"/>
  </cols>
  <sheetData>
    <row r="3" spans="2:7" ht="18.75" x14ac:dyDescent="0.3">
      <c r="B3" s="440" t="s">
        <v>287</v>
      </c>
      <c r="C3" s="440"/>
      <c r="D3" s="440"/>
      <c r="E3" s="440"/>
      <c r="F3" s="440"/>
      <c r="G3" s="440"/>
    </row>
    <row r="5" spans="2:7" ht="15.75" thickBot="1" x14ac:dyDescent="0.3"/>
    <row r="6" spans="2:7" ht="15.75" thickTop="1" x14ac:dyDescent="0.25">
      <c r="B6" s="452" t="s">
        <v>328</v>
      </c>
      <c r="C6" s="454" t="s">
        <v>329</v>
      </c>
      <c r="D6" s="454" t="s">
        <v>330</v>
      </c>
      <c r="E6" s="454" t="s">
        <v>210</v>
      </c>
      <c r="F6" s="454" t="s">
        <v>331</v>
      </c>
      <c r="G6" s="456"/>
    </row>
    <row r="7" spans="2:7" x14ac:dyDescent="0.25">
      <c r="B7" s="453"/>
      <c r="C7" s="455"/>
      <c r="D7" s="455"/>
      <c r="E7" s="455"/>
      <c r="F7" s="88" t="s">
        <v>332</v>
      </c>
      <c r="G7" s="89" t="s">
        <v>333</v>
      </c>
    </row>
    <row r="8" spans="2:7" ht="15.75" thickBot="1" x14ac:dyDescent="0.3">
      <c r="B8" s="90">
        <v>1</v>
      </c>
      <c r="C8" s="91">
        <v>2</v>
      </c>
      <c r="D8" s="91">
        <v>3</v>
      </c>
      <c r="E8" s="91">
        <v>4</v>
      </c>
      <c r="F8" s="91">
        <v>5</v>
      </c>
      <c r="G8" s="92" t="s">
        <v>281</v>
      </c>
    </row>
    <row r="9" spans="2:7" ht="15.75" thickTop="1" x14ac:dyDescent="0.25">
      <c r="B9" s="100" t="s">
        <v>9</v>
      </c>
      <c r="C9" s="98" t="s">
        <v>10</v>
      </c>
      <c r="D9" s="93"/>
      <c r="E9" s="9"/>
      <c r="F9" s="9"/>
      <c r="G9" s="10"/>
    </row>
    <row r="10" spans="2:7" x14ac:dyDescent="0.25">
      <c r="B10" s="2">
        <v>1</v>
      </c>
      <c r="C10" s="3" t="s">
        <v>288</v>
      </c>
      <c r="D10" s="94" t="s">
        <v>282</v>
      </c>
      <c r="E10" s="3">
        <f>VLOOKUP(C10,RekapVolume,3,FALSE)</f>
        <v>200</v>
      </c>
      <c r="F10" s="344">
        <f>HSP!G17</f>
        <v>23100</v>
      </c>
      <c r="G10" s="359">
        <f>E10*F10</f>
        <v>4620000</v>
      </c>
    </row>
    <row r="11" spans="2:7" x14ac:dyDescent="0.25">
      <c r="B11" s="2">
        <v>2</v>
      </c>
      <c r="C11" s="3" t="s">
        <v>12</v>
      </c>
      <c r="D11" s="94" t="s">
        <v>289</v>
      </c>
      <c r="E11" s="3">
        <f>VLOOKUP(C11,RekapVolume,3,FALSE)</f>
        <v>36</v>
      </c>
      <c r="F11" s="344">
        <f>HSP!G13</f>
        <v>92990</v>
      </c>
      <c r="G11" s="359">
        <f t="shared" ref="G11:G13" si="0">E11*F11</f>
        <v>3347640</v>
      </c>
    </row>
    <row r="12" spans="2:7" x14ac:dyDescent="0.25">
      <c r="B12" s="2">
        <v>3</v>
      </c>
      <c r="C12" s="3" t="s">
        <v>13</v>
      </c>
      <c r="D12" s="94" t="s">
        <v>7</v>
      </c>
      <c r="E12" s="3">
        <f>VLOOKUP(C12,RekapVolume,3,FALSE)</f>
        <v>1</v>
      </c>
      <c r="F12" s="3">
        <v>500000</v>
      </c>
      <c r="G12" s="359">
        <f t="shared" si="0"/>
        <v>500000</v>
      </c>
    </row>
    <row r="13" spans="2:7" x14ac:dyDescent="0.25">
      <c r="B13" s="2">
        <v>4</v>
      </c>
      <c r="C13" s="3" t="s">
        <v>290</v>
      </c>
      <c r="D13" s="94" t="s">
        <v>7</v>
      </c>
      <c r="E13" s="3">
        <f>VLOOKUP(C13,RekapVolume,3,FALSE)</f>
        <v>1</v>
      </c>
      <c r="F13" s="96">
        <v>500000</v>
      </c>
      <c r="G13" s="360">
        <f t="shared" si="0"/>
        <v>500000</v>
      </c>
    </row>
    <row r="14" spans="2:7" x14ac:dyDescent="0.25">
      <c r="B14" s="2"/>
      <c r="C14" s="3"/>
      <c r="D14" s="94"/>
      <c r="E14" s="3"/>
      <c r="F14" s="98" t="s">
        <v>334</v>
      </c>
      <c r="G14" s="388">
        <f>SUM(G10:G13)</f>
        <v>8967640</v>
      </c>
    </row>
    <row r="15" spans="2:7" x14ac:dyDescent="0.25">
      <c r="B15" s="99" t="s">
        <v>23</v>
      </c>
      <c r="C15" s="97" t="s">
        <v>291</v>
      </c>
      <c r="D15" s="94"/>
      <c r="E15" s="3"/>
      <c r="F15" s="3"/>
      <c r="G15" s="4"/>
    </row>
    <row r="16" spans="2:7" x14ac:dyDescent="0.25">
      <c r="B16" s="2">
        <v>1</v>
      </c>
      <c r="C16" s="3" t="s">
        <v>25</v>
      </c>
      <c r="D16" s="94" t="s">
        <v>283</v>
      </c>
      <c r="E16" s="3">
        <f>VLOOKUP(C16,RekapVolume,3,FALSE)</f>
        <v>30.712500000000006</v>
      </c>
      <c r="F16" s="344">
        <f>HSP!G28</f>
        <v>107800</v>
      </c>
      <c r="G16" s="359">
        <f t="shared" ref="G16:G19" si="1">E16*F16</f>
        <v>3310807.5000000005</v>
      </c>
    </row>
    <row r="17" spans="2:7" x14ac:dyDescent="0.25">
      <c r="B17" s="2">
        <v>2</v>
      </c>
      <c r="C17" s="3" t="s">
        <v>33</v>
      </c>
      <c r="D17" s="94" t="s">
        <v>283</v>
      </c>
      <c r="E17" s="3">
        <f>VLOOKUP(C17,RekapVolume,3,FALSE)</f>
        <v>26.878125000000004</v>
      </c>
      <c r="F17" s="344">
        <f>HSP!G36</f>
        <v>39050</v>
      </c>
      <c r="G17" s="359">
        <f t="shared" si="1"/>
        <v>1049590.7812500002</v>
      </c>
    </row>
    <row r="18" spans="2:7" x14ac:dyDescent="0.25">
      <c r="B18" s="2">
        <v>3</v>
      </c>
      <c r="C18" s="3" t="s">
        <v>35</v>
      </c>
      <c r="D18" s="94" t="s">
        <v>283</v>
      </c>
      <c r="E18" s="3">
        <f>VLOOKUP(C18,RekapVolume,3,FALSE)</f>
        <v>2.0250000000000004</v>
      </c>
      <c r="F18" s="344">
        <f>HSP!G38</f>
        <v>440426</v>
      </c>
      <c r="G18" s="359">
        <f t="shared" si="1"/>
        <v>891862.65000000014</v>
      </c>
    </row>
    <row r="19" spans="2:7" x14ac:dyDescent="0.25">
      <c r="B19" s="2">
        <v>4</v>
      </c>
      <c r="C19" s="3" t="s">
        <v>292</v>
      </c>
      <c r="D19" s="94" t="s">
        <v>283</v>
      </c>
      <c r="E19" s="3">
        <f>VLOOKUP(C19,RekapVolume,3,FALSE)</f>
        <v>4.8000000000000007</v>
      </c>
      <c r="F19" s="362">
        <f>HSP!G38</f>
        <v>440426</v>
      </c>
      <c r="G19" s="360">
        <f t="shared" si="1"/>
        <v>2114044.8000000003</v>
      </c>
    </row>
    <row r="20" spans="2:7" x14ac:dyDescent="0.25">
      <c r="B20" s="2"/>
      <c r="C20" s="3"/>
      <c r="D20" s="94"/>
      <c r="E20" s="3"/>
      <c r="F20" s="98" t="s">
        <v>335</v>
      </c>
      <c r="G20" s="388">
        <f>SUM(G16:G19)</f>
        <v>7366305.7312500011</v>
      </c>
    </row>
    <row r="21" spans="2:7" x14ac:dyDescent="0.25">
      <c r="B21" s="99" t="s">
        <v>52</v>
      </c>
      <c r="C21" s="97" t="s">
        <v>293</v>
      </c>
      <c r="D21" s="94"/>
      <c r="E21" s="3"/>
      <c r="F21" s="3"/>
      <c r="G21" s="4"/>
    </row>
    <row r="22" spans="2:7" x14ac:dyDescent="0.25">
      <c r="B22" s="2">
        <v>1</v>
      </c>
      <c r="C22" s="3" t="s">
        <v>294</v>
      </c>
      <c r="D22" s="94" t="s">
        <v>283</v>
      </c>
      <c r="E22" s="3">
        <f>VLOOKUP(C22,RekapVolume,3,FALSE)</f>
        <v>6.0750000000000002</v>
      </c>
      <c r="F22" s="344">
        <f>HSP!G52</f>
        <v>885381</v>
      </c>
      <c r="G22" s="359">
        <f t="shared" ref="G22:G26" si="2">E22*F22</f>
        <v>5378689.5750000002</v>
      </c>
    </row>
    <row r="23" spans="2:7" x14ac:dyDescent="0.25">
      <c r="B23" s="2">
        <v>2</v>
      </c>
      <c r="C23" s="3" t="s">
        <v>62</v>
      </c>
      <c r="D23" s="94" t="s">
        <v>283</v>
      </c>
      <c r="E23" s="3">
        <f>VLOOKUP(C23,RekapVolume,3,FALSE)</f>
        <v>18</v>
      </c>
      <c r="F23" s="344">
        <f>HSP!G44</f>
        <v>1467001</v>
      </c>
      <c r="G23" s="359">
        <f t="shared" si="2"/>
        <v>26406018</v>
      </c>
    </row>
    <row r="24" spans="2:7" x14ac:dyDescent="0.25">
      <c r="B24" s="2">
        <v>3</v>
      </c>
      <c r="C24" s="3" t="s">
        <v>78</v>
      </c>
      <c r="D24" s="94" t="s">
        <v>282</v>
      </c>
      <c r="E24" s="3">
        <f>VLOOKUP(C24,RekapVolume,3,FALSE)</f>
        <v>160.405</v>
      </c>
      <c r="F24" s="344">
        <f>HSP!G157</f>
        <v>178223</v>
      </c>
      <c r="G24" s="359">
        <f t="shared" si="2"/>
        <v>28587860.315000001</v>
      </c>
    </row>
    <row r="25" spans="2:7" x14ac:dyDescent="0.25">
      <c r="B25" s="2">
        <v>4</v>
      </c>
      <c r="C25" s="3" t="s">
        <v>347</v>
      </c>
      <c r="D25" s="94" t="s">
        <v>282</v>
      </c>
      <c r="E25" s="3">
        <f>VLOOKUP(C25,RekapVolume,3,FALSE)</f>
        <v>320.81</v>
      </c>
      <c r="F25" s="344">
        <f>HSP!G181</f>
        <v>89498</v>
      </c>
      <c r="G25" s="359">
        <f t="shared" si="2"/>
        <v>28711853.379999999</v>
      </c>
    </row>
    <row r="26" spans="2:7" x14ac:dyDescent="0.25">
      <c r="B26" s="2">
        <v>5</v>
      </c>
      <c r="C26" s="3" t="s">
        <v>348</v>
      </c>
      <c r="D26" s="94" t="s">
        <v>282</v>
      </c>
      <c r="E26" s="3">
        <f>VLOOKUP(C26,RekapVolume,3,FALSE)</f>
        <v>320.81</v>
      </c>
      <c r="F26" s="362">
        <f>HSP!G203</f>
        <v>54406</v>
      </c>
      <c r="G26" s="360">
        <f t="shared" si="2"/>
        <v>17453988.859999999</v>
      </c>
    </row>
    <row r="27" spans="2:7" ht="15.75" thickBot="1" x14ac:dyDescent="0.3">
      <c r="B27" s="5"/>
      <c r="C27" s="6"/>
      <c r="D27" s="95"/>
      <c r="E27" s="6"/>
      <c r="F27" s="596" t="s">
        <v>336</v>
      </c>
      <c r="G27" s="605">
        <f>SUM(G22:G26)</f>
        <v>106538410.13</v>
      </c>
    </row>
    <row r="28" spans="2:7" ht="15.75" thickTop="1" x14ac:dyDescent="0.25">
      <c r="B28" s="100" t="s">
        <v>121</v>
      </c>
      <c r="C28" s="98" t="s">
        <v>122</v>
      </c>
      <c r="D28" s="93"/>
      <c r="E28" s="9"/>
      <c r="F28" s="9"/>
      <c r="G28" s="10"/>
    </row>
    <row r="29" spans="2:7" x14ac:dyDescent="0.25">
      <c r="B29" s="2">
        <v>1</v>
      </c>
      <c r="C29" s="3" t="s">
        <v>1875</v>
      </c>
      <c r="D29" s="94"/>
      <c r="E29" s="3"/>
      <c r="F29" s="3"/>
      <c r="G29" s="4"/>
    </row>
    <row r="30" spans="2:7" x14ac:dyDescent="0.25">
      <c r="B30" s="2"/>
      <c r="C30" s="3" t="s">
        <v>1876</v>
      </c>
      <c r="D30" s="94" t="s">
        <v>159</v>
      </c>
      <c r="E30" s="358">
        <f>'Rekap Volume'!E29</f>
        <v>189.58125000000001</v>
      </c>
      <c r="F30" s="344">
        <f>HSP!G74/10</f>
        <v>17691.7</v>
      </c>
      <c r="G30" s="359">
        <f t="shared" ref="G30:G48" si="3">E30*F30</f>
        <v>3354014.6006250004</v>
      </c>
    </row>
    <row r="31" spans="2:7" x14ac:dyDescent="0.25">
      <c r="B31" s="2"/>
      <c r="C31" s="3" t="s">
        <v>1877</v>
      </c>
      <c r="D31" s="94" t="s">
        <v>282</v>
      </c>
      <c r="E31" s="358">
        <f>'Rekap Volume'!E30</f>
        <v>22.5</v>
      </c>
      <c r="F31" s="344">
        <f>HSP!G78</f>
        <v>356765</v>
      </c>
      <c r="G31" s="359">
        <f t="shared" si="3"/>
        <v>8027212.5</v>
      </c>
    </row>
    <row r="32" spans="2:7" x14ac:dyDescent="0.25">
      <c r="B32" s="2"/>
      <c r="C32" s="3" t="s">
        <v>1878</v>
      </c>
      <c r="D32" s="94" t="s">
        <v>283</v>
      </c>
      <c r="E32" s="358">
        <f>'Rekap Volume'!E31</f>
        <v>2.25</v>
      </c>
      <c r="F32" s="344">
        <f>HSP!G64</f>
        <v>1802958</v>
      </c>
      <c r="G32" s="359">
        <f t="shared" si="3"/>
        <v>4056655.5</v>
      </c>
    </row>
    <row r="33" spans="2:7" x14ac:dyDescent="0.25">
      <c r="B33" s="2">
        <v>2</v>
      </c>
      <c r="C33" s="3" t="s">
        <v>1879</v>
      </c>
      <c r="D33" s="94"/>
      <c r="E33" s="3"/>
      <c r="F33" s="3"/>
      <c r="G33" s="359"/>
    </row>
    <row r="34" spans="2:7" x14ac:dyDescent="0.25">
      <c r="B34" s="2"/>
      <c r="C34" s="3" t="s">
        <v>1876</v>
      </c>
      <c r="D34" s="94" t="s">
        <v>159</v>
      </c>
      <c r="E34" s="358">
        <f>'Rekap Volume'!E33</f>
        <v>156.42833333333334</v>
      </c>
      <c r="F34" s="344">
        <f>HSP!G74/10</f>
        <v>17691.7</v>
      </c>
      <c r="G34" s="359">
        <f t="shared" si="3"/>
        <v>2767483.1448333338</v>
      </c>
    </row>
    <row r="35" spans="2:7" x14ac:dyDescent="0.25">
      <c r="B35" s="2"/>
      <c r="C35" s="3" t="s">
        <v>1877</v>
      </c>
      <c r="D35" s="94" t="s">
        <v>282</v>
      </c>
      <c r="E35" s="358">
        <f>'Rekap Volume'!E34</f>
        <v>20.399999999999999</v>
      </c>
      <c r="F35" s="344">
        <f>HSP!G78</f>
        <v>356765</v>
      </c>
      <c r="G35" s="359">
        <f t="shared" si="3"/>
        <v>7278005.9999999991</v>
      </c>
    </row>
    <row r="36" spans="2:7" x14ac:dyDescent="0.25">
      <c r="B36" s="2"/>
      <c r="C36" s="3" t="s">
        <v>1878</v>
      </c>
      <c r="D36" s="94" t="s">
        <v>283</v>
      </c>
      <c r="E36" s="358">
        <f>'Rekap Volume'!E35</f>
        <v>1.0125</v>
      </c>
      <c r="F36" s="344">
        <f>HSP!G64</f>
        <v>1802958</v>
      </c>
      <c r="G36" s="359">
        <f t="shared" si="3"/>
        <v>1825494.9749999999</v>
      </c>
    </row>
    <row r="37" spans="2:7" x14ac:dyDescent="0.25">
      <c r="B37" s="2">
        <v>3</v>
      </c>
      <c r="C37" s="3" t="s">
        <v>1880</v>
      </c>
      <c r="D37" s="94"/>
      <c r="E37" s="3"/>
      <c r="F37" s="3"/>
      <c r="G37" s="359"/>
    </row>
    <row r="38" spans="2:7" x14ac:dyDescent="0.25">
      <c r="B38" s="2"/>
      <c r="C38" s="3" t="s">
        <v>1876</v>
      </c>
      <c r="D38" s="94" t="s">
        <v>159</v>
      </c>
      <c r="E38" s="358">
        <f>'Rekap Volume'!E37</f>
        <v>103.51875000000001</v>
      </c>
      <c r="F38" s="344">
        <f>HSP!G74/10</f>
        <v>17691.7</v>
      </c>
      <c r="G38" s="359">
        <f t="shared" si="3"/>
        <v>1831422.6693750003</v>
      </c>
    </row>
    <row r="39" spans="2:7" x14ac:dyDescent="0.25">
      <c r="B39" s="2"/>
      <c r="C39" s="3" t="s">
        <v>1877</v>
      </c>
      <c r="D39" s="94" t="s">
        <v>282</v>
      </c>
      <c r="E39" s="358">
        <f>'Rekap Volume'!E38</f>
        <v>13.5</v>
      </c>
      <c r="F39" s="344">
        <f>HSP!G78</f>
        <v>356765</v>
      </c>
      <c r="G39" s="359">
        <f t="shared" si="3"/>
        <v>4816327.5</v>
      </c>
    </row>
    <row r="40" spans="2:7" x14ac:dyDescent="0.25">
      <c r="B40" s="2"/>
      <c r="C40" s="3" t="s">
        <v>1878</v>
      </c>
      <c r="D40" s="94" t="s">
        <v>283</v>
      </c>
      <c r="E40" s="358">
        <f>'Rekap Volume'!E39</f>
        <v>1.0125</v>
      </c>
      <c r="F40" s="344">
        <f>HSP!G64</f>
        <v>1802958</v>
      </c>
      <c r="G40" s="359">
        <f t="shared" si="3"/>
        <v>1825494.9749999999</v>
      </c>
    </row>
    <row r="41" spans="2:7" x14ac:dyDescent="0.25">
      <c r="B41" s="2">
        <v>4</v>
      </c>
      <c r="C41" s="3" t="s">
        <v>169</v>
      </c>
      <c r="D41" s="94"/>
      <c r="E41" s="3"/>
      <c r="F41" s="3"/>
      <c r="G41" s="359"/>
    </row>
    <row r="42" spans="2:7" x14ac:dyDescent="0.25">
      <c r="B42" s="2"/>
      <c r="C42" s="3" t="s">
        <v>1876</v>
      </c>
      <c r="D42" s="94" t="s">
        <v>159</v>
      </c>
      <c r="E42" s="358">
        <f>'Rekap Volume'!E41</f>
        <v>37</v>
      </c>
      <c r="F42" s="344">
        <f>HSP!G74/10</f>
        <v>17691.7</v>
      </c>
      <c r="G42" s="359">
        <f t="shared" si="3"/>
        <v>654592.9</v>
      </c>
    </row>
    <row r="43" spans="2:7" x14ac:dyDescent="0.25">
      <c r="B43" s="2"/>
      <c r="C43" s="3" t="s">
        <v>1877</v>
      </c>
      <c r="D43" s="94" t="s">
        <v>282</v>
      </c>
      <c r="E43" s="358">
        <f>'Rekap Volume'!E42</f>
        <v>3</v>
      </c>
      <c r="F43" s="344">
        <f>HSP!G81</f>
        <v>700265</v>
      </c>
      <c r="G43" s="359">
        <f t="shared" si="3"/>
        <v>2100795</v>
      </c>
    </row>
    <row r="44" spans="2:7" x14ac:dyDescent="0.25">
      <c r="B44" s="2"/>
      <c r="C44" s="3" t="s">
        <v>1878</v>
      </c>
      <c r="D44" s="94" t="s">
        <v>283</v>
      </c>
      <c r="E44" s="358">
        <f>'Rekap Volume'!E43</f>
        <v>0.36</v>
      </c>
      <c r="F44" s="344">
        <f>HSP!G64</f>
        <v>1802958</v>
      </c>
      <c r="G44" s="359">
        <f t="shared" si="3"/>
        <v>649064.88</v>
      </c>
    </row>
    <row r="45" spans="2:7" x14ac:dyDescent="0.25">
      <c r="B45" s="2">
        <v>5</v>
      </c>
      <c r="C45" s="3" t="s">
        <v>185</v>
      </c>
      <c r="D45" s="94"/>
      <c r="E45" s="3"/>
      <c r="F45" s="3"/>
      <c r="G45" s="359"/>
    </row>
    <row r="46" spans="2:7" x14ac:dyDescent="0.25">
      <c r="B46" s="2"/>
      <c r="C46" s="3" t="s">
        <v>1876</v>
      </c>
      <c r="D46" s="94" t="s">
        <v>159</v>
      </c>
      <c r="E46" s="358">
        <f>'Rekap Volume'!E45</f>
        <v>34.533333333333339</v>
      </c>
      <c r="F46" s="344">
        <f>HSP!G74/10</f>
        <v>17691.7</v>
      </c>
      <c r="G46" s="359">
        <f t="shared" si="3"/>
        <v>610953.37333333341</v>
      </c>
    </row>
    <row r="47" spans="2:7" x14ac:dyDescent="0.25">
      <c r="B47" s="2"/>
      <c r="C47" s="3" t="s">
        <v>1877</v>
      </c>
      <c r="D47" s="94" t="s">
        <v>282</v>
      </c>
      <c r="E47" s="358">
        <f>'Rekap Volume'!E46</f>
        <v>2.8</v>
      </c>
      <c r="F47" s="344">
        <f>HSP!G81</f>
        <v>700265</v>
      </c>
      <c r="G47" s="359">
        <f t="shared" si="3"/>
        <v>1960741.9999999998</v>
      </c>
    </row>
    <row r="48" spans="2:7" x14ac:dyDescent="0.25">
      <c r="B48" s="2"/>
      <c r="C48" s="3" t="s">
        <v>1878</v>
      </c>
      <c r="D48" s="94" t="s">
        <v>283</v>
      </c>
      <c r="E48" s="358">
        <f>'Rekap Volume'!E47</f>
        <v>0.33599999999999997</v>
      </c>
      <c r="F48" s="362">
        <f>HSP!G64</f>
        <v>1802958</v>
      </c>
      <c r="G48" s="360">
        <f t="shared" si="3"/>
        <v>605793.88799999992</v>
      </c>
    </row>
    <row r="49" spans="2:7" x14ac:dyDescent="0.25">
      <c r="B49" s="2"/>
      <c r="C49" s="3"/>
      <c r="D49" s="94"/>
      <c r="E49" s="3"/>
      <c r="F49" s="98" t="s">
        <v>337</v>
      </c>
      <c r="G49" s="388">
        <f>SUM(G30:G48)</f>
        <v>42364053.906166665</v>
      </c>
    </row>
    <row r="50" spans="2:7" x14ac:dyDescent="0.25">
      <c r="B50" s="99" t="s">
        <v>187</v>
      </c>
      <c r="C50" s="97" t="s">
        <v>295</v>
      </c>
      <c r="D50" s="94"/>
      <c r="E50" s="3"/>
      <c r="F50" s="3"/>
      <c r="G50" s="4"/>
    </row>
    <row r="51" spans="2:7" x14ac:dyDescent="0.25">
      <c r="B51" s="2">
        <v>1</v>
      </c>
      <c r="C51" s="3" t="s">
        <v>1882</v>
      </c>
      <c r="D51" s="94" t="s">
        <v>283</v>
      </c>
      <c r="E51" s="358">
        <f t="shared" ref="E51:E56" si="4">VLOOKUP(C51,RekapVolume,3,FALSE)</f>
        <v>97.680097680097688</v>
      </c>
      <c r="F51" s="344">
        <f>HSP!G145</f>
        <v>396201</v>
      </c>
      <c r="G51" s="359">
        <f t="shared" ref="G51:G56" si="5">E51*F51</f>
        <v>38700952.380952381</v>
      </c>
    </row>
    <row r="52" spans="2:7" x14ac:dyDescent="0.25">
      <c r="B52" s="2">
        <v>2</v>
      </c>
      <c r="C52" s="3" t="s">
        <v>296</v>
      </c>
      <c r="D52" s="94" t="s">
        <v>283</v>
      </c>
      <c r="E52" s="358">
        <f t="shared" si="4"/>
        <v>39.536019536019538</v>
      </c>
      <c r="F52" s="344">
        <f>HSP!G358</f>
        <v>107851</v>
      </c>
      <c r="G52" s="359">
        <f t="shared" si="5"/>
        <v>4263999.2429792434</v>
      </c>
    </row>
    <row r="53" spans="2:7" x14ac:dyDescent="0.25">
      <c r="B53" s="2">
        <v>3</v>
      </c>
      <c r="C53" s="3" t="s">
        <v>1892</v>
      </c>
      <c r="D53" s="94" t="s">
        <v>283</v>
      </c>
      <c r="E53" s="358">
        <f t="shared" si="4"/>
        <v>97.680097680097688</v>
      </c>
      <c r="F53" s="344">
        <f>HSP!G324</f>
        <v>114665</v>
      </c>
      <c r="G53" s="359">
        <f t="shared" si="5"/>
        <v>11200488.400488401</v>
      </c>
    </row>
    <row r="54" spans="2:7" x14ac:dyDescent="0.25">
      <c r="B54" s="2">
        <v>4</v>
      </c>
      <c r="C54" s="3" t="s">
        <v>1893</v>
      </c>
      <c r="D54" s="94" t="s">
        <v>283</v>
      </c>
      <c r="E54" s="3">
        <f t="shared" si="4"/>
        <v>80</v>
      </c>
      <c r="F54" s="344">
        <f>HSP!G288</f>
        <v>423593</v>
      </c>
      <c r="G54" s="359">
        <f t="shared" si="5"/>
        <v>33887440</v>
      </c>
    </row>
    <row r="55" spans="2:7" x14ac:dyDescent="0.25">
      <c r="B55" s="2">
        <v>5</v>
      </c>
      <c r="C55" s="3" t="s">
        <v>1894</v>
      </c>
      <c r="D55" s="94" t="s">
        <v>284</v>
      </c>
      <c r="E55" s="3">
        <f t="shared" si="4"/>
        <v>80</v>
      </c>
      <c r="F55" s="344">
        <f>HSP!G284</f>
        <v>64700</v>
      </c>
      <c r="G55" s="359">
        <f t="shared" si="5"/>
        <v>5176000</v>
      </c>
    </row>
    <row r="56" spans="2:7" x14ac:dyDescent="0.25">
      <c r="B56" s="2">
        <v>6</v>
      </c>
      <c r="C56" s="3" t="s">
        <v>297</v>
      </c>
      <c r="D56" s="94" t="s">
        <v>282</v>
      </c>
      <c r="E56" s="3">
        <f t="shared" si="4"/>
        <v>36</v>
      </c>
      <c r="F56" s="362">
        <f>HSP!G285</f>
        <v>41910</v>
      </c>
      <c r="G56" s="360">
        <f t="shared" si="5"/>
        <v>1508760</v>
      </c>
    </row>
    <row r="57" spans="2:7" ht="15.75" thickBot="1" x14ac:dyDescent="0.3">
      <c r="B57" s="5"/>
      <c r="C57" s="6"/>
      <c r="D57" s="95"/>
      <c r="E57" s="6"/>
      <c r="F57" s="596" t="s">
        <v>338</v>
      </c>
      <c r="G57" s="605">
        <f>SUM(G51:G56)</f>
        <v>94737640.024420023</v>
      </c>
    </row>
    <row r="58" spans="2:7" ht="15.75" thickTop="1" x14ac:dyDescent="0.25">
      <c r="B58" s="100" t="s">
        <v>204</v>
      </c>
      <c r="C58" s="98" t="s">
        <v>298</v>
      </c>
      <c r="D58" s="93"/>
      <c r="E58" s="9"/>
      <c r="F58" s="9"/>
      <c r="G58" s="10"/>
    </row>
    <row r="59" spans="2:7" x14ac:dyDescent="0.25">
      <c r="B59" s="2">
        <v>1</v>
      </c>
      <c r="C59" s="3" t="s">
        <v>1905</v>
      </c>
      <c r="D59" s="94" t="s">
        <v>283</v>
      </c>
      <c r="E59" s="358">
        <f>VLOOKUP(C59,RekapVolume,3,FALSE)</f>
        <v>0.35040000000000004</v>
      </c>
      <c r="F59" s="344">
        <f>HSP!G339</f>
        <v>10054189</v>
      </c>
      <c r="G59" s="359">
        <f t="shared" ref="G59:G63" si="6">E59*F59</f>
        <v>3522987.8256000006</v>
      </c>
    </row>
    <row r="60" spans="2:7" x14ac:dyDescent="0.25">
      <c r="B60" s="2">
        <v>2</v>
      </c>
      <c r="C60" s="3" t="s">
        <v>1906</v>
      </c>
      <c r="D60" s="94" t="s">
        <v>282</v>
      </c>
      <c r="E60" s="3">
        <f>VLOOKUP(C60,RekapVolume,3,FALSE)</f>
        <v>6.5280000000000005</v>
      </c>
      <c r="F60" s="344">
        <f>HSP!G342</f>
        <v>902665</v>
      </c>
      <c r="G60" s="359">
        <f t="shared" si="6"/>
        <v>5892597.1200000001</v>
      </c>
    </row>
    <row r="61" spans="2:7" x14ac:dyDescent="0.25">
      <c r="B61" s="2">
        <v>3</v>
      </c>
      <c r="C61" s="3" t="s">
        <v>224</v>
      </c>
      <c r="D61" s="94" t="s">
        <v>282</v>
      </c>
      <c r="E61" s="3">
        <f>VLOOKUP(C61,RekapVolume,3,FALSE)</f>
        <v>1.4279999999999999</v>
      </c>
      <c r="F61" s="344">
        <f>HSP!G348</f>
        <v>767120</v>
      </c>
      <c r="G61" s="359">
        <f t="shared" si="6"/>
        <v>1095447.3599999999</v>
      </c>
    </row>
    <row r="62" spans="2:7" x14ac:dyDescent="0.25">
      <c r="B62" s="2">
        <v>4</v>
      </c>
      <c r="C62" s="3" t="s">
        <v>299</v>
      </c>
      <c r="D62" s="94" t="s">
        <v>282</v>
      </c>
      <c r="E62" s="3">
        <f>VLOOKUP(C62,RekapVolume,3,FALSE)</f>
        <v>0.81199999999999994</v>
      </c>
      <c r="F62" s="344">
        <f>HSP!G343</f>
        <v>680859</v>
      </c>
      <c r="G62" s="359">
        <f t="shared" si="6"/>
        <v>552857.50799999991</v>
      </c>
    </row>
    <row r="63" spans="2:7" x14ac:dyDescent="0.25">
      <c r="B63" s="2">
        <v>5</v>
      </c>
      <c r="C63" s="3" t="s">
        <v>300</v>
      </c>
      <c r="D63" s="94" t="s">
        <v>282</v>
      </c>
      <c r="E63" s="3">
        <f>VLOOKUP(C63,RekapVolume,3,FALSE)</f>
        <v>2.3040000000000003</v>
      </c>
      <c r="F63" s="362">
        <f>HSP!G347</f>
        <v>822685</v>
      </c>
      <c r="G63" s="360">
        <f t="shared" si="6"/>
        <v>1895466.2400000002</v>
      </c>
    </row>
    <row r="64" spans="2:7" x14ac:dyDescent="0.25">
      <c r="B64" s="2"/>
      <c r="C64" s="3"/>
      <c r="D64" s="94"/>
      <c r="E64" s="3"/>
      <c r="F64" s="98" t="s">
        <v>339</v>
      </c>
      <c r="G64" s="388">
        <f>SUM(G59:G63)</f>
        <v>12959356.0536</v>
      </c>
    </row>
    <row r="65" spans="2:7" x14ac:dyDescent="0.25">
      <c r="B65" s="99" t="s">
        <v>228</v>
      </c>
      <c r="C65" s="97" t="s">
        <v>301</v>
      </c>
      <c r="D65" s="94"/>
      <c r="E65" s="3"/>
      <c r="F65" s="3"/>
      <c r="G65" s="4"/>
    </row>
    <row r="66" spans="2:7" x14ac:dyDescent="0.25">
      <c r="B66" s="2">
        <v>1</v>
      </c>
      <c r="C66" s="3" t="s">
        <v>302</v>
      </c>
      <c r="D66" s="94" t="s">
        <v>282</v>
      </c>
      <c r="E66" s="3">
        <f>VLOOKUP(C66,RekapVolume,3,FALSE)</f>
        <v>44.37</v>
      </c>
      <c r="F66" s="344">
        <f>HSP!G242</f>
        <v>302112</v>
      </c>
      <c r="G66" s="359">
        <f t="shared" ref="G66:G67" si="7">E66*F66</f>
        <v>13404709.439999999</v>
      </c>
    </row>
    <row r="67" spans="2:7" x14ac:dyDescent="0.25">
      <c r="B67" s="2">
        <v>2</v>
      </c>
      <c r="C67" s="3" t="s">
        <v>303</v>
      </c>
      <c r="D67" s="94" t="s">
        <v>282</v>
      </c>
      <c r="E67" s="3">
        <f>VLOOKUP(C67,RekapVolume,3,FALSE)</f>
        <v>2.8800000000000003</v>
      </c>
      <c r="F67" s="362">
        <f>HSP!G243</f>
        <v>351087</v>
      </c>
      <c r="G67" s="360">
        <f t="shared" si="7"/>
        <v>1011130.5600000002</v>
      </c>
    </row>
    <row r="68" spans="2:7" x14ac:dyDescent="0.25">
      <c r="B68" s="2"/>
      <c r="C68" s="3"/>
      <c r="D68" s="94"/>
      <c r="E68" s="3"/>
      <c r="F68" s="98" t="s">
        <v>340</v>
      </c>
      <c r="G68" s="388">
        <f>SUM(G66:G67)</f>
        <v>14415840</v>
      </c>
    </row>
    <row r="69" spans="2:7" x14ac:dyDescent="0.25">
      <c r="B69" s="99" t="s">
        <v>285</v>
      </c>
      <c r="C69" s="97" t="s">
        <v>304</v>
      </c>
      <c r="D69" s="94"/>
      <c r="E69" s="3"/>
      <c r="F69" s="3"/>
      <c r="G69" s="4"/>
    </row>
    <row r="70" spans="2:7" x14ac:dyDescent="0.25">
      <c r="B70" s="2">
        <v>1</v>
      </c>
      <c r="C70" s="3" t="s">
        <v>1908</v>
      </c>
      <c r="D70" s="94" t="s">
        <v>286</v>
      </c>
      <c r="E70" s="3">
        <f t="shared" ref="E70:E76" si="8">VLOOKUP(C70,RekapVolume,3,FALSE)</f>
        <v>4</v>
      </c>
      <c r="F70" s="344">
        <f>HSP!G369</f>
        <v>269775</v>
      </c>
      <c r="G70" s="359">
        <f t="shared" ref="G70:G76" si="9">E70*F70</f>
        <v>1079100</v>
      </c>
    </row>
    <row r="71" spans="2:7" x14ac:dyDescent="0.25">
      <c r="B71" s="2">
        <v>2</v>
      </c>
      <c r="C71" s="3" t="s">
        <v>241</v>
      </c>
      <c r="D71" s="94" t="s">
        <v>286</v>
      </c>
      <c r="E71" s="3">
        <f t="shared" si="8"/>
        <v>1</v>
      </c>
      <c r="F71" s="344">
        <f>HSP!G370</f>
        <v>157173</v>
      </c>
      <c r="G71" s="359">
        <f t="shared" si="9"/>
        <v>157173</v>
      </c>
    </row>
    <row r="72" spans="2:7" x14ac:dyDescent="0.25">
      <c r="B72" s="2">
        <v>3</v>
      </c>
      <c r="C72" s="3" t="s">
        <v>1909</v>
      </c>
      <c r="D72" s="94" t="s">
        <v>286</v>
      </c>
      <c r="E72" s="3">
        <f t="shared" si="8"/>
        <v>5</v>
      </c>
      <c r="F72" s="344">
        <f>HSP!G378</f>
        <v>108317</v>
      </c>
      <c r="G72" s="359">
        <f t="shared" si="9"/>
        <v>541585</v>
      </c>
    </row>
    <row r="73" spans="2:7" x14ac:dyDescent="0.25">
      <c r="B73" s="2">
        <v>4</v>
      </c>
      <c r="C73" s="3" t="s">
        <v>1910</v>
      </c>
      <c r="D73" s="94" t="s">
        <v>286</v>
      </c>
      <c r="E73" s="3">
        <f t="shared" si="8"/>
        <v>4</v>
      </c>
      <c r="F73" s="344">
        <f>HSP!G378</f>
        <v>108317</v>
      </c>
      <c r="G73" s="359">
        <f t="shared" si="9"/>
        <v>433268</v>
      </c>
    </row>
    <row r="74" spans="2:7" x14ac:dyDescent="0.25">
      <c r="B74" s="2">
        <v>5</v>
      </c>
      <c r="C74" s="3" t="s">
        <v>242</v>
      </c>
      <c r="D74" s="94" t="s">
        <v>286</v>
      </c>
      <c r="E74" s="3">
        <f t="shared" si="8"/>
        <v>15</v>
      </c>
      <c r="F74" s="344">
        <f>HSP!G372</f>
        <v>53246</v>
      </c>
      <c r="G74" s="359">
        <f t="shared" si="9"/>
        <v>798690</v>
      </c>
    </row>
    <row r="75" spans="2:7" x14ac:dyDescent="0.25">
      <c r="B75" s="2">
        <v>6</v>
      </c>
      <c r="C75" s="3" t="s">
        <v>243</v>
      </c>
      <c r="D75" s="94" t="s">
        <v>286</v>
      </c>
      <c r="E75" s="3">
        <f t="shared" si="8"/>
        <v>8</v>
      </c>
      <c r="F75" s="344">
        <f>HSP!G373</f>
        <v>44863</v>
      </c>
      <c r="G75" s="359">
        <f t="shared" si="9"/>
        <v>358904</v>
      </c>
    </row>
    <row r="76" spans="2:7" x14ac:dyDescent="0.25">
      <c r="B76" s="2">
        <v>7</v>
      </c>
      <c r="C76" s="3" t="s">
        <v>244</v>
      </c>
      <c r="D76" s="94" t="s">
        <v>286</v>
      </c>
      <c r="E76" s="3">
        <f t="shared" si="8"/>
        <v>8</v>
      </c>
      <c r="F76" s="362">
        <f>HSP!G376</f>
        <v>38291</v>
      </c>
      <c r="G76" s="360">
        <f t="shared" si="9"/>
        <v>306328</v>
      </c>
    </row>
    <row r="77" spans="2:7" ht="15.75" thickBot="1" x14ac:dyDescent="0.3">
      <c r="B77" s="5"/>
      <c r="C77" s="6"/>
      <c r="D77" s="95"/>
      <c r="E77" s="6"/>
      <c r="F77" s="596" t="s">
        <v>341</v>
      </c>
      <c r="G77" s="605">
        <f>SUM(G70:G76)</f>
        <v>3675048</v>
      </c>
    </row>
    <row r="78" spans="2:7" ht="15.75" thickTop="1" x14ac:dyDescent="0.25">
      <c r="B78" s="100" t="s">
        <v>246</v>
      </c>
      <c r="C78" s="98" t="s">
        <v>305</v>
      </c>
      <c r="D78" s="93"/>
      <c r="E78" s="9"/>
      <c r="F78" s="9"/>
      <c r="G78" s="10"/>
    </row>
    <row r="79" spans="2:7" x14ac:dyDescent="0.25">
      <c r="B79" s="2">
        <v>1</v>
      </c>
      <c r="C79" s="3" t="s">
        <v>306</v>
      </c>
      <c r="D79" s="94" t="s">
        <v>286</v>
      </c>
      <c r="E79" s="3">
        <f t="shared" ref="E79:E90" si="10">VLOOKUP(C79,RekapVolume,3,FALSE)</f>
        <v>2</v>
      </c>
      <c r="F79" s="344">
        <f>HSP!G456</f>
        <v>306611</v>
      </c>
      <c r="G79" s="359">
        <f t="shared" ref="G79:G90" si="11">E79*F79</f>
        <v>613222</v>
      </c>
    </row>
    <row r="80" spans="2:7" x14ac:dyDescent="0.25">
      <c r="B80" s="2">
        <v>2</v>
      </c>
      <c r="C80" s="3" t="s">
        <v>307</v>
      </c>
      <c r="D80" s="94" t="s">
        <v>286</v>
      </c>
      <c r="E80" s="3">
        <f t="shared" si="10"/>
        <v>5</v>
      </c>
      <c r="F80" s="344">
        <f>HSP!G456</f>
        <v>306611</v>
      </c>
      <c r="G80" s="359">
        <f t="shared" si="11"/>
        <v>1533055</v>
      </c>
    </row>
    <row r="81" spans="2:7" x14ac:dyDescent="0.25">
      <c r="B81" s="2">
        <v>3</v>
      </c>
      <c r="C81" s="3" t="s">
        <v>308</v>
      </c>
      <c r="D81" s="94" t="s">
        <v>286</v>
      </c>
      <c r="E81" s="3">
        <f t="shared" si="10"/>
        <v>1</v>
      </c>
      <c r="F81" s="344">
        <f>HSP!G456</f>
        <v>306611</v>
      </c>
      <c r="G81" s="359">
        <f t="shared" si="11"/>
        <v>306611</v>
      </c>
    </row>
    <row r="82" spans="2:7" x14ac:dyDescent="0.25">
      <c r="B82" s="2">
        <v>4</v>
      </c>
      <c r="C82" s="3" t="s">
        <v>248</v>
      </c>
      <c r="D82" s="94" t="s">
        <v>286</v>
      </c>
      <c r="E82" s="3">
        <f t="shared" si="10"/>
        <v>2</v>
      </c>
      <c r="F82" s="344">
        <f>HSP!G457</f>
        <v>84535</v>
      </c>
      <c r="G82" s="359">
        <f t="shared" si="11"/>
        <v>169070</v>
      </c>
    </row>
    <row r="83" spans="2:7" x14ac:dyDescent="0.25">
      <c r="B83" s="2">
        <v>5</v>
      </c>
      <c r="C83" s="3" t="s">
        <v>249</v>
      </c>
      <c r="D83" s="94" t="s">
        <v>286</v>
      </c>
      <c r="E83" s="3">
        <f t="shared" si="10"/>
        <v>4</v>
      </c>
      <c r="F83" s="344">
        <f>HSP!G458</f>
        <v>77935</v>
      </c>
      <c r="G83" s="359">
        <f t="shared" si="11"/>
        <v>311740</v>
      </c>
    </row>
    <row r="84" spans="2:7" x14ac:dyDescent="0.25">
      <c r="B84" s="2">
        <v>6</v>
      </c>
      <c r="C84" s="3" t="s">
        <v>250</v>
      </c>
      <c r="D84" s="94" t="s">
        <v>286</v>
      </c>
      <c r="E84" s="3">
        <f t="shared" si="10"/>
        <v>4</v>
      </c>
      <c r="F84" s="344">
        <f>HSP!G459</f>
        <v>70697</v>
      </c>
      <c r="G84" s="359">
        <f t="shared" si="11"/>
        <v>282788</v>
      </c>
    </row>
    <row r="85" spans="2:7" x14ac:dyDescent="0.25">
      <c r="B85" s="2">
        <v>7</v>
      </c>
      <c r="C85" s="3" t="s">
        <v>251</v>
      </c>
      <c r="D85" s="94" t="s">
        <v>286</v>
      </c>
      <c r="E85" s="3">
        <f t="shared" si="10"/>
        <v>1</v>
      </c>
      <c r="F85" s="344">
        <f>HSP!G460</f>
        <v>496870</v>
      </c>
      <c r="G85" s="359">
        <f t="shared" si="11"/>
        <v>496870</v>
      </c>
    </row>
    <row r="86" spans="2:7" x14ac:dyDescent="0.25">
      <c r="B86" s="2">
        <v>8</v>
      </c>
      <c r="C86" s="3" t="s">
        <v>252</v>
      </c>
      <c r="D86" s="94" t="s">
        <v>286</v>
      </c>
      <c r="E86" s="3">
        <f t="shared" si="10"/>
        <v>1</v>
      </c>
      <c r="F86" s="344">
        <f>HSP!G417</f>
        <v>2407185</v>
      </c>
      <c r="G86" s="359">
        <f t="shared" si="11"/>
        <v>2407185</v>
      </c>
    </row>
    <row r="87" spans="2:7" x14ac:dyDescent="0.25">
      <c r="B87" s="2">
        <v>9</v>
      </c>
      <c r="C87" s="3" t="s">
        <v>253</v>
      </c>
      <c r="D87" s="94" t="s">
        <v>286</v>
      </c>
      <c r="E87" s="3">
        <f t="shared" si="10"/>
        <v>1</v>
      </c>
      <c r="F87" s="344">
        <f>HSP!G426</f>
        <v>611387</v>
      </c>
      <c r="G87" s="359">
        <f t="shared" si="11"/>
        <v>611387</v>
      </c>
    </row>
    <row r="88" spans="2:7" x14ac:dyDescent="0.25">
      <c r="B88" s="2">
        <v>10</v>
      </c>
      <c r="C88" s="3" t="s">
        <v>254</v>
      </c>
      <c r="D88" s="94" t="s">
        <v>286</v>
      </c>
      <c r="E88" s="3">
        <f t="shared" si="10"/>
        <v>4</v>
      </c>
      <c r="F88" s="344">
        <f>HSP!G435</f>
        <v>110331</v>
      </c>
      <c r="G88" s="359">
        <f t="shared" si="11"/>
        <v>441324</v>
      </c>
    </row>
    <row r="89" spans="2:7" x14ac:dyDescent="0.25">
      <c r="B89" s="2">
        <v>11</v>
      </c>
      <c r="C89" s="3" t="s">
        <v>255</v>
      </c>
      <c r="D89" s="94" t="s">
        <v>286</v>
      </c>
      <c r="E89" s="3">
        <f t="shared" si="10"/>
        <v>1</v>
      </c>
      <c r="F89" s="344">
        <f>HSP!G430</f>
        <v>328625</v>
      </c>
      <c r="G89" s="359">
        <f t="shared" si="11"/>
        <v>328625</v>
      </c>
    </row>
    <row r="90" spans="2:7" x14ac:dyDescent="0.25">
      <c r="B90" s="2">
        <v>12</v>
      </c>
      <c r="C90" s="3" t="s">
        <v>256</v>
      </c>
      <c r="D90" s="94" t="s">
        <v>286</v>
      </c>
      <c r="E90" s="3">
        <f t="shared" si="10"/>
        <v>1</v>
      </c>
      <c r="F90" s="362">
        <f>HSP!G428</f>
        <v>678315</v>
      </c>
      <c r="G90" s="360">
        <f t="shared" si="11"/>
        <v>678315</v>
      </c>
    </row>
    <row r="91" spans="2:7" x14ac:dyDescent="0.25">
      <c r="B91" s="2"/>
      <c r="C91" s="3"/>
      <c r="D91" s="94"/>
      <c r="E91" s="3"/>
      <c r="F91" s="98" t="s">
        <v>342</v>
      </c>
      <c r="G91" s="388">
        <f>SUM(G79:G90)</f>
        <v>8180192</v>
      </c>
    </row>
    <row r="92" spans="2:7" x14ac:dyDescent="0.25">
      <c r="B92" s="99" t="s">
        <v>16</v>
      </c>
      <c r="C92" s="97" t="s">
        <v>260</v>
      </c>
      <c r="D92" s="94"/>
      <c r="E92" s="3"/>
      <c r="F92" s="3"/>
      <c r="G92" s="4"/>
    </row>
    <row r="93" spans="2:7" x14ac:dyDescent="0.25">
      <c r="B93" s="2">
        <v>1</v>
      </c>
      <c r="C93" s="3" t="s">
        <v>309</v>
      </c>
      <c r="D93" s="94" t="s">
        <v>282</v>
      </c>
      <c r="E93" s="3">
        <f>VLOOKUP(C93,RekapVolume,3,FALSE)</f>
        <v>320.81</v>
      </c>
      <c r="F93" s="344">
        <f>HSP!G402</f>
        <v>37532</v>
      </c>
      <c r="G93" s="359">
        <f t="shared" ref="G93:G96" si="12">E93*F93</f>
        <v>12040640.92</v>
      </c>
    </row>
    <row r="94" spans="2:7" x14ac:dyDescent="0.25">
      <c r="B94" s="2">
        <v>2</v>
      </c>
      <c r="C94" s="3" t="s">
        <v>310</v>
      </c>
      <c r="D94" s="94" t="s">
        <v>282</v>
      </c>
      <c r="E94" s="3">
        <f>VLOOKUP(C94,RekapVolume,3,FALSE)</f>
        <v>80</v>
      </c>
      <c r="F94" s="344">
        <f>HSP!G402</f>
        <v>37532</v>
      </c>
      <c r="G94" s="359">
        <f t="shared" si="12"/>
        <v>3002560</v>
      </c>
    </row>
    <row r="95" spans="2:7" x14ac:dyDescent="0.25">
      <c r="B95" s="2">
        <v>3</v>
      </c>
      <c r="C95" s="3" t="s">
        <v>311</v>
      </c>
      <c r="D95" s="94" t="s">
        <v>282</v>
      </c>
      <c r="E95" s="3">
        <f>VLOOKUP(C95,RekapVolume,3,FALSE)</f>
        <v>6.0587999999999997</v>
      </c>
      <c r="F95" s="344">
        <f>HSP!G408</f>
        <v>43847</v>
      </c>
      <c r="G95" s="359">
        <f t="shared" si="12"/>
        <v>265660.20360000001</v>
      </c>
    </row>
    <row r="96" spans="2:7" x14ac:dyDescent="0.25">
      <c r="B96" s="2">
        <v>4</v>
      </c>
      <c r="C96" s="3" t="s">
        <v>312</v>
      </c>
      <c r="D96" s="94" t="s">
        <v>282</v>
      </c>
      <c r="E96" s="3">
        <f>VLOOKUP(C96,RekapVolume,3,FALSE)</f>
        <v>6.0587999999999997</v>
      </c>
      <c r="F96" s="362">
        <f>HSP!G396</f>
        <v>52538</v>
      </c>
      <c r="G96" s="360">
        <f t="shared" si="12"/>
        <v>318317.23439999996</v>
      </c>
    </row>
    <row r="97" spans="2:7" ht="15.75" thickBot="1" x14ac:dyDescent="0.3">
      <c r="B97" s="5"/>
      <c r="C97" s="6"/>
      <c r="D97" s="95"/>
      <c r="E97" s="6"/>
      <c r="F97" s="596" t="s">
        <v>343</v>
      </c>
      <c r="G97" s="605">
        <f>SUM(G93:G96)</f>
        <v>15627178.358000001</v>
      </c>
    </row>
    <row r="98" spans="2:7" ht="15.75" thickTop="1" x14ac:dyDescent="0.25">
      <c r="B98" s="100" t="s">
        <v>270</v>
      </c>
      <c r="C98" s="98" t="s">
        <v>271</v>
      </c>
      <c r="D98" s="93"/>
      <c r="E98" s="9"/>
      <c r="F98" s="9"/>
      <c r="G98" s="10"/>
    </row>
    <row r="99" spans="2:7" x14ac:dyDescent="0.25">
      <c r="B99" s="2">
        <v>1</v>
      </c>
      <c r="C99" s="3" t="s">
        <v>272</v>
      </c>
      <c r="D99" s="94" t="s">
        <v>283</v>
      </c>
      <c r="E99" s="3">
        <f t="shared" ref="E99:E114" si="13">VLOOKUP(C99,RekapVolume,3,FALSE)</f>
        <v>12.774000000000001</v>
      </c>
      <c r="F99" s="344">
        <f>HSP!G28</f>
        <v>107800</v>
      </c>
      <c r="G99" s="359">
        <f t="shared" ref="G99:G114" si="14">E99*F99</f>
        <v>1377037.2000000002</v>
      </c>
    </row>
    <row r="100" spans="2:7" x14ac:dyDescent="0.25">
      <c r="B100" s="2">
        <v>2</v>
      </c>
      <c r="C100" s="3" t="s">
        <v>276</v>
      </c>
      <c r="D100" s="94" t="s">
        <v>282</v>
      </c>
      <c r="E100" s="3">
        <f t="shared" si="13"/>
        <v>24.959999999999997</v>
      </c>
      <c r="F100" s="344">
        <f>HSP!G177</f>
        <v>108051</v>
      </c>
      <c r="G100" s="359">
        <f t="shared" si="14"/>
        <v>2696952.9599999995</v>
      </c>
    </row>
    <row r="101" spans="2:7" x14ac:dyDescent="0.25">
      <c r="B101" s="2">
        <v>3</v>
      </c>
      <c r="C101" s="3" t="s">
        <v>313</v>
      </c>
      <c r="D101" s="94" t="s">
        <v>283</v>
      </c>
      <c r="E101" s="3">
        <f t="shared" si="13"/>
        <v>0.432</v>
      </c>
      <c r="F101" s="344">
        <f>HSP!G52</f>
        <v>885381</v>
      </c>
      <c r="G101" s="359">
        <f t="shared" si="14"/>
        <v>382484.592</v>
      </c>
    </row>
    <row r="102" spans="2:7" x14ac:dyDescent="0.25">
      <c r="B102" s="2">
        <v>4</v>
      </c>
      <c r="C102" s="3" t="s">
        <v>1898</v>
      </c>
      <c r="D102" s="94" t="s">
        <v>283</v>
      </c>
      <c r="E102" s="3">
        <f t="shared" si="13"/>
        <v>0.42750000000000005</v>
      </c>
      <c r="F102" s="344">
        <f>HSP!G38</f>
        <v>440426</v>
      </c>
      <c r="G102" s="359">
        <f t="shared" si="14"/>
        <v>188282.11500000002</v>
      </c>
    </row>
    <row r="103" spans="2:7" x14ac:dyDescent="0.25">
      <c r="B103" s="2">
        <v>5</v>
      </c>
      <c r="C103" s="3" t="s">
        <v>314</v>
      </c>
      <c r="D103" s="94" t="s">
        <v>283</v>
      </c>
      <c r="E103" s="3">
        <f t="shared" si="13"/>
        <v>0.432</v>
      </c>
      <c r="F103" s="344">
        <f>HSP!G41</f>
        <v>401852</v>
      </c>
      <c r="G103" s="359">
        <f t="shared" si="14"/>
        <v>173600.06399999998</v>
      </c>
    </row>
    <row r="104" spans="2:7" x14ac:dyDescent="0.25">
      <c r="B104" s="2">
        <v>6</v>
      </c>
      <c r="C104" s="3" t="s">
        <v>1899</v>
      </c>
      <c r="D104" s="94" t="s">
        <v>283</v>
      </c>
      <c r="E104" s="3">
        <f t="shared" si="13"/>
        <v>0.432</v>
      </c>
      <c r="F104" s="344">
        <f>HSP!G41</f>
        <v>401852</v>
      </c>
      <c r="G104" s="359">
        <f t="shared" si="14"/>
        <v>173600.06399999998</v>
      </c>
    </row>
    <row r="105" spans="2:7" x14ac:dyDescent="0.25">
      <c r="B105" s="2">
        <v>7</v>
      </c>
      <c r="C105" s="3" t="s">
        <v>315</v>
      </c>
      <c r="D105" s="94" t="s">
        <v>282</v>
      </c>
      <c r="E105" s="3">
        <f t="shared" si="13"/>
        <v>5.1199999999999992</v>
      </c>
      <c r="F105" s="344">
        <f>HSP!G40/2</f>
        <v>808665</v>
      </c>
      <c r="G105" s="359">
        <f t="shared" si="14"/>
        <v>4140364.7999999993</v>
      </c>
    </row>
    <row r="106" spans="2:7" x14ac:dyDescent="0.25">
      <c r="B106" s="2">
        <v>8</v>
      </c>
      <c r="C106" s="3" t="s">
        <v>316</v>
      </c>
      <c r="D106" s="94" t="s">
        <v>283</v>
      </c>
      <c r="E106" s="3">
        <f t="shared" si="13"/>
        <v>0.28350000000000003</v>
      </c>
      <c r="F106" s="344">
        <f>HSP!G86</f>
        <v>7336880</v>
      </c>
      <c r="G106" s="359">
        <f t="shared" si="14"/>
        <v>2080005.4800000002</v>
      </c>
    </row>
    <row r="107" spans="2:7" x14ac:dyDescent="0.25">
      <c r="B107" s="2">
        <v>9</v>
      </c>
      <c r="C107" s="3" t="s">
        <v>317</v>
      </c>
      <c r="D107" s="94" t="s">
        <v>283</v>
      </c>
      <c r="E107" s="3">
        <f t="shared" si="13"/>
        <v>0.20249999999999999</v>
      </c>
      <c r="F107" s="344">
        <f>HSP!G89</f>
        <v>8939854</v>
      </c>
      <c r="G107" s="359">
        <f t="shared" si="14"/>
        <v>1810320.4349999998</v>
      </c>
    </row>
    <row r="108" spans="2:7" x14ac:dyDescent="0.25">
      <c r="B108" s="2">
        <v>10</v>
      </c>
      <c r="C108" s="3" t="s">
        <v>318</v>
      </c>
      <c r="D108" s="94" t="s">
        <v>283</v>
      </c>
      <c r="E108" s="3">
        <f t="shared" si="13"/>
        <v>0.11199999999999999</v>
      </c>
      <c r="F108" s="344">
        <f>HSP!G89</f>
        <v>8939854</v>
      </c>
      <c r="G108" s="359">
        <f t="shared" si="14"/>
        <v>1001263.6479999999</v>
      </c>
    </row>
    <row r="109" spans="2:7" x14ac:dyDescent="0.25">
      <c r="B109" s="2">
        <v>11</v>
      </c>
      <c r="C109" s="3" t="s">
        <v>319</v>
      </c>
      <c r="D109" s="94" t="s">
        <v>283</v>
      </c>
      <c r="E109" s="3">
        <f t="shared" si="13"/>
        <v>0.24975</v>
      </c>
      <c r="F109" s="344">
        <f>HSP!G86</f>
        <v>7336880</v>
      </c>
      <c r="G109" s="359">
        <f t="shared" si="14"/>
        <v>1832385.78</v>
      </c>
    </row>
    <row r="110" spans="2:7" x14ac:dyDescent="0.25">
      <c r="B110" s="2">
        <v>12</v>
      </c>
      <c r="C110" s="3" t="s">
        <v>320</v>
      </c>
      <c r="D110" s="94" t="s">
        <v>283</v>
      </c>
      <c r="E110" s="3">
        <f t="shared" si="13"/>
        <v>0.16800000000000001</v>
      </c>
      <c r="F110" s="344">
        <f>HSP!G86</f>
        <v>7336880</v>
      </c>
      <c r="G110" s="359">
        <f t="shared" si="14"/>
        <v>1232595.8400000001</v>
      </c>
    </row>
    <row r="111" spans="2:7" x14ac:dyDescent="0.25">
      <c r="B111" s="2">
        <v>13</v>
      </c>
      <c r="C111" s="3" t="s">
        <v>321</v>
      </c>
      <c r="D111" s="94" t="s">
        <v>283</v>
      </c>
      <c r="E111" s="3">
        <f t="shared" si="13"/>
        <v>0.59075</v>
      </c>
      <c r="F111" s="344">
        <f>HSP!G89</f>
        <v>8939854</v>
      </c>
      <c r="G111" s="359">
        <f t="shared" si="14"/>
        <v>5281218.7505000001</v>
      </c>
    </row>
    <row r="112" spans="2:7" x14ac:dyDescent="0.25">
      <c r="B112" s="2">
        <v>14</v>
      </c>
      <c r="C112" s="3" t="s">
        <v>322</v>
      </c>
      <c r="D112" s="94" t="s">
        <v>284</v>
      </c>
      <c r="E112" s="3">
        <f t="shared" si="13"/>
        <v>3</v>
      </c>
      <c r="F112" s="344">
        <f>HSP!G448</f>
        <v>154222</v>
      </c>
      <c r="G112" s="359">
        <f t="shared" si="14"/>
        <v>462666</v>
      </c>
    </row>
    <row r="113" spans="2:7" x14ac:dyDescent="0.25">
      <c r="B113" s="2">
        <v>15</v>
      </c>
      <c r="C113" s="3" t="s">
        <v>323</v>
      </c>
      <c r="D113" s="94" t="s">
        <v>286</v>
      </c>
      <c r="E113" s="3">
        <f t="shared" si="13"/>
        <v>1</v>
      </c>
      <c r="F113" s="363">
        <v>100000</v>
      </c>
      <c r="G113" s="359">
        <f t="shared" si="14"/>
        <v>100000</v>
      </c>
    </row>
    <row r="114" spans="2:7" x14ac:dyDescent="0.25">
      <c r="B114" s="2">
        <v>16</v>
      </c>
      <c r="C114" s="3" t="s">
        <v>324</v>
      </c>
      <c r="D114" s="94" t="s">
        <v>283</v>
      </c>
      <c r="E114" s="3">
        <f t="shared" si="13"/>
        <v>34.14</v>
      </c>
      <c r="F114" s="362">
        <f>HSP!G157</f>
        <v>178223</v>
      </c>
      <c r="G114" s="360">
        <f t="shared" si="14"/>
        <v>6084533.2199999997</v>
      </c>
    </row>
    <row r="115" spans="2:7" x14ac:dyDescent="0.25">
      <c r="B115" s="2"/>
      <c r="C115" s="3"/>
      <c r="D115" s="94"/>
      <c r="E115" s="3"/>
      <c r="F115" s="98" t="s">
        <v>344</v>
      </c>
      <c r="G115" s="388">
        <f>SUM(G99:G114)</f>
        <v>29017310.9485</v>
      </c>
    </row>
    <row r="116" spans="2:7" x14ac:dyDescent="0.25">
      <c r="B116" s="99" t="s">
        <v>325</v>
      </c>
      <c r="C116" s="97" t="s">
        <v>326</v>
      </c>
      <c r="D116" s="94"/>
      <c r="E116" s="3"/>
      <c r="F116" s="3"/>
      <c r="G116" s="4"/>
    </row>
    <row r="117" spans="2:7" x14ac:dyDescent="0.25">
      <c r="B117" s="2">
        <v>1</v>
      </c>
      <c r="C117" s="3" t="s">
        <v>327</v>
      </c>
      <c r="D117" s="94" t="s">
        <v>816</v>
      </c>
      <c r="E117" s="3">
        <f>E10</f>
        <v>200</v>
      </c>
      <c r="F117" s="362">
        <f>F10/3</f>
        <v>7700</v>
      </c>
      <c r="G117" s="360">
        <f>E117*F117</f>
        <v>1540000</v>
      </c>
    </row>
    <row r="118" spans="2:7" x14ac:dyDescent="0.25">
      <c r="B118" s="2"/>
      <c r="C118" s="3"/>
      <c r="D118" s="94"/>
      <c r="E118" s="3"/>
      <c r="F118" s="98" t="s">
        <v>345</v>
      </c>
      <c r="G118" s="388">
        <f>SUM(G117)</f>
        <v>1540000</v>
      </c>
    </row>
    <row r="119" spans="2:7" x14ac:dyDescent="0.25">
      <c r="B119" s="2"/>
      <c r="C119" s="3"/>
      <c r="D119" s="94"/>
      <c r="E119" s="3"/>
      <c r="F119" s="3"/>
      <c r="G119" s="4"/>
    </row>
    <row r="120" spans="2:7" ht="15.75" thickBot="1" x14ac:dyDescent="0.3">
      <c r="B120" s="5"/>
      <c r="C120" s="6"/>
      <c r="D120" s="95"/>
      <c r="E120" s="6"/>
      <c r="F120" s="6"/>
      <c r="G120" s="7"/>
    </row>
    <row r="121" spans="2:7" ht="15.75" thickTop="1" x14ac:dyDescent="0.25"/>
  </sheetData>
  <mergeCells count="6">
    <mergeCell ref="B3:G3"/>
    <mergeCell ref="B6:B7"/>
    <mergeCell ref="C6:C7"/>
    <mergeCell ref="D6:D7"/>
    <mergeCell ref="E6:E7"/>
    <mergeCell ref="F6:G6"/>
  </mergeCells>
  <printOptions horizontalCentered="1"/>
  <pageMargins left="0.7" right="0.7" top="0.75" bottom="0.75" header="0.3" footer="0.3"/>
  <pageSetup paperSize="9" orientation="landscape" horizontalDpi="1200" verticalDpi="1200" r:id="rId1"/>
  <rowBreaks count="4" manualBreakCount="4">
    <brk id="27" min="1" max="6" man="1"/>
    <brk id="57" min="1" max="6" man="1"/>
    <brk id="77" min="1" max="6" man="1"/>
    <brk id="97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E6F6-0EAC-4D17-916C-E8385860B4E8}">
  <dimension ref="B2:E120"/>
  <sheetViews>
    <sheetView showGridLines="0" zoomScaleNormal="100" workbookViewId="0">
      <selection activeCell="B2" sqref="B2:E2"/>
    </sheetView>
  </sheetViews>
  <sheetFormatPr defaultRowHeight="15" x14ac:dyDescent="0.25"/>
  <cols>
    <col min="2" max="2" width="5.42578125" customWidth="1"/>
    <col min="3" max="3" width="46.7109375" customWidth="1"/>
    <col min="4" max="4" width="8.28515625" style="87" customWidth="1"/>
    <col min="5" max="5" width="11.42578125" style="350" customWidth="1"/>
  </cols>
  <sheetData>
    <row r="2" spans="2:5" ht="26.25" x14ac:dyDescent="0.4">
      <c r="B2" s="457" t="s">
        <v>346</v>
      </c>
      <c r="C2" s="457"/>
      <c r="D2" s="457"/>
      <c r="E2" s="457"/>
    </row>
    <row r="4" spans="2:5" ht="15.75" thickBot="1" x14ac:dyDescent="0.3"/>
    <row r="5" spans="2:5" ht="15.75" thickTop="1" x14ac:dyDescent="0.25">
      <c r="B5" s="452" t="s">
        <v>328</v>
      </c>
      <c r="C5" s="454" t="s">
        <v>329</v>
      </c>
      <c r="D5" s="454" t="s">
        <v>330</v>
      </c>
      <c r="E5" s="458" t="s">
        <v>210</v>
      </c>
    </row>
    <row r="6" spans="2:5" x14ac:dyDescent="0.25">
      <c r="B6" s="453"/>
      <c r="C6" s="455"/>
      <c r="D6" s="455"/>
      <c r="E6" s="459"/>
    </row>
    <row r="7" spans="2:5" ht="15.75" thickBot="1" x14ac:dyDescent="0.3">
      <c r="B7" s="90">
        <v>1</v>
      </c>
      <c r="C7" s="91">
        <v>2</v>
      </c>
      <c r="D7" s="91">
        <v>3</v>
      </c>
      <c r="E7" s="351">
        <v>4</v>
      </c>
    </row>
    <row r="8" spans="2:5" ht="15.75" thickTop="1" x14ac:dyDescent="0.25">
      <c r="B8" s="100" t="s">
        <v>9</v>
      </c>
      <c r="C8" s="98" t="s">
        <v>10</v>
      </c>
      <c r="D8" s="93"/>
      <c r="E8" s="352"/>
    </row>
    <row r="9" spans="2:5" x14ac:dyDescent="0.25">
      <c r="B9" s="2">
        <v>1</v>
      </c>
      <c r="C9" s="3" t="s">
        <v>288</v>
      </c>
      <c r="D9" s="94" t="s">
        <v>282</v>
      </c>
      <c r="E9" s="101">
        <f>Volume!AE12</f>
        <v>200</v>
      </c>
    </row>
    <row r="10" spans="2:5" x14ac:dyDescent="0.25">
      <c r="B10" s="2">
        <v>2</v>
      </c>
      <c r="C10" s="3" t="s">
        <v>12</v>
      </c>
      <c r="D10" s="94" t="s">
        <v>289</v>
      </c>
      <c r="E10" s="101">
        <f>Volume!AD15</f>
        <v>36</v>
      </c>
    </row>
    <row r="11" spans="2:5" x14ac:dyDescent="0.25">
      <c r="B11" s="2">
        <v>3</v>
      </c>
      <c r="C11" s="3" t="s">
        <v>13</v>
      </c>
      <c r="D11" s="94" t="s">
        <v>7</v>
      </c>
      <c r="E11" s="101">
        <f>Volume!AH18</f>
        <v>1</v>
      </c>
    </row>
    <row r="12" spans="2:5" x14ac:dyDescent="0.25">
      <c r="B12" s="2">
        <v>4</v>
      </c>
      <c r="C12" s="3" t="s">
        <v>290</v>
      </c>
      <c r="D12" s="94" t="s">
        <v>7</v>
      </c>
      <c r="E12" s="101">
        <f>Volume!AH19</f>
        <v>1</v>
      </c>
    </row>
    <row r="13" spans="2:5" x14ac:dyDescent="0.25">
      <c r="B13" s="2"/>
      <c r="C13" s="3"/>
      <c r="D13" s="94"/>
      <c r="E13" s="101"/>
    </row>
    <row r="14" spans="2:5" x14ac:dyDescent="0.25">
      <c r="B14" s="99" t="s">
        <v>23</v>
      </c>
      <c r="C14" s="97" t="s">
        <v>291</v>
      </c>
      <c r="D14" s="94"/>
      <c r="E14" s="101"/>
    </row>
    <row r="15" spans="2:5" x14ac:dyDescent="0.25">
      <c r="B15" s="2">
        <v>1</v>
      </c>
      <c r="C15" s="3" t="s">
        <v>25</v>
      </c>
      <c r="D15" s="94" t="s">
        <v>283</v>
      </c>
      <c r="E15" s="101">
        <f>Volume!AF35</f>
        <v>30.712500000000006</v>
      </c>
    </row>
    <row r="16" spans="2:5" x14ac:dyDescent="0.25">
      <c r="B16" s="2">
        <v>2</v>
      </c>
      <c r="C16" s="3" t="s">
        <v>33</v>
      </c>
      <c r="D16" s="94" t="s">
        <v>283</v>
      </c>
      <c r="E16" s="101">
        <f>Volume!AF62</f>
        <v>26.878125000000004</v>
      </c>
    </row>
    <row r="17" spans="2:5" x14ac:dyDescent="0.25">
      <c r="B17" s="2">
        <v>3</v>
      </c>
      <c r="C17" s="3" t="s">
        <v>35</v>
      </c>
      <c r="D17" s="94" t="s">
        <v>283</v>
      </c>
      <c r="E17" s="101">
        <f>Volume!AF73</f>
        <v>2.0250000000000004</v>
      </c>
    </row>
    <row r="18" spans="2:5" x14ac:dyDescent="0.25">
      <c r="B18" s="2">
        <v>4</v>
      </c>
      <c r="C18" s="3" t="s">
        <v>292</v>
      </c>
      <c r="D18" s="94" t="s">
        <v>283</v>
      </c>
      <c r="E18" s="101">
        <f>Volume!AF81</f>
        <v>4.8000000000000007</v>
      </c>
    </row>
    <row r="19" spans="2:5" x14ac:dyDescent="0.25">
      <c r="B19" s="2"/>
      <c r="C19" s="3"/>
      <c r="D19" s="94"/>
      <c r="E19" s="101"/>
    </row>
    <row r="20" spans="2:5" x14ac:dyDescent="0.25">
      <c r="B20" s="99" t="s">
        <v>52</v>
      </c>
      <c r="C20" s="97" t="s">
        <v>53</v>
      </c>
      <c r="D20" s="94"/>
      <c r="E20" s="101"/>
    </row>
    <row r="21" spans="2:5" x14ac:dyDescent="0.25">
      <c r="B21" s="2">
        <v>1</v>
      </c>
      <c r="C21" s="3" t="s">
        <v>294</v>
      </c>
      <c r="D21" s="94" t="s">
        <v>283</v>
      </c>
      <c r="E21" s="101">
        <f>Volume!AF89</f>
        <v>6.0750000000000002</v>
      </c>
    </row>
    <row r="22" spans="2:5" x14ac:dyDescent="0.25">
      <c r="B22" s="2">
        <v>2</v>
      </c>
      <c r="C22" s="3" t="s">
        <v>62</v>
      </c>
      <c r="D22" s="94" t="s">
        <v>283</v>
      </c>
      <c r="E22" s="101">
        <f>Volume!AF103</f>
        <v>18</v>
      </c>
    </row>
    <row r="23" spans="2:5" x14ac:dyDescent="0.25">
      <c r="B23" s="2">
        <v>3</v>
      </c>
      <c r="C23" s="3" t="s">
        <v>78</v>
      </c>
      <c r="D23" s="94" t="s">
        <v>282</v>
      </c>
      <c r="E23" s="101">
        <f>Volume!AE130</f>
        <v>160.405</v>
      </c>
    </row>
    <row r="24" spans="2:5" x14ac:dyDescent="0.25">
      <c r="B24" s="2">
        <v>4</v>
      </c>
      <c r="C24" s="3" t="s">
        <v>347</v>
      </c>
      <c r="D24" s="94" t="s">
        <v>282</v>
      </c>
      <c r="E24" s="101">
        <f>Volume!AE256</f>
        <v>320.81</v>
      </c>
    </row>
    <row r="25" spans="2:5" x14ac:dyDescent="0.25">
      <c r="B25" s="2">
        <v>5</v>
      </c>
      <c r="C25" s="3" t="s">
        <v>348</v>
      </c>
      <c r="D25" s="94" t="s">
        <v>282</v>
      </c>
      <c r="E25" s="101">
        <f>Volume!AE260</f>
        <v>320.81</v>
      </c>
    </row>
    <row r="26" spans="2:5" x14ac:dyDescent="0.25">
      <c r="B26" s="2"/>
      <c r="C26" s="3"/>
      <c r="D26" s="94"/>
      <c r="E26" s="101"/>
    </row>
    <row r="27" spans="2:5" x14ac:dyDescent="0.25">
      <c r="B27" s="99" t="s">
        <v>121</v>
      </c>
      <c r="C27" s="97" t="s">
        <v>122</v>
      </c>
      <c r="D27" s="94"/>
      <c r="E27" s="101"/>
    </row>
    <row r="28" spans="2:5" x14ac:dyDescent="0.25">
      <c r="B28" s="2">
        <v>1</v>
      </c>
      <c r="C28" s="3" t="s">
        <v>1875</v>
      </c>
      <c r="D28" s="94"/>
      <c r="E28" s="101"/>
    </row>
    <row r="29" spans="2:5" x14ac:dyDescent="0.25">
      <c r="B29" s="2"/>
      <c r="C29" s="3" t="s">
        <v>1876</v>
      </c>
      <c r="D29" s="94" t="s">
        <v>159</v>
      </c>
      <c r="E29" s="101">
        <f>Volume!AH266</f>
        <v>189.58125000000001</v>
      </c>
    </row>
    <row r="30" spans="2:5" x14ac:dyDescent="0.25">
      <c r="B30" s="2"/>
      <c r="C30" s="3" t="s">
        <v>1877</v>
      </c>
      <c r="D30" s="94" t="s">
        <v>282</v>
      </c>
      <c r="E30" s="101">
        <f>Volume!AE287</f>
        <v>22.5</v>
      </c>
    </row>
    <row r="31" spans="2:5" x14ac:dyDescent="0.25">
      <c r="B31" s="2"/>
      <c r="C31" s="3" t="s">
        <v>1878</v>
      </c>
      <c r="D31" s="94" t="s">
        <v>283</v>
      </c>
      <c r="E31" s="101">
        <f>Volume!AF295</f>
        <v>2.25</v>
      </c>
    </row>
    <row r="32" spans="2:5" x14ac:dyDescent="0.25">
      <c r="B32" s="2">
        <v>2</v>
      </c>
      <c r="C32" s="3" t="s">
        <v>1879</v>
      </c>
      <c r="D32" s="94"/>
      <c r="E32" s="101"/>
    </row>
    <row r="33" spans="2:5" x14ac:dyDescent="0.25">
      <c r="B33" s="2"/>
      <c r="C33" s="3" t="s">
        <v>1876</v>
      </c>
      <c r="D33" s="94" t="s">
        <v>159</v>
      </c>
      <c r="E33" s="101">
        <f>Volume!AH301</f>
        <v>156.42833333333334</v>
      </c>
    </row>
    <row r="34" spans="2:5" x14ac:dyDescent="0.25">
      <c r="B34" s="2"/>
      <c r="C34" s="3" t="s">
        <v>1877</v>
      </c>
      <c r="D34" s="94" t="s">
        <v>282</v>
      </c>
      <c r="E34" s="101">
        <f>Volume!AE332</f>
        <v>20.399999999999999</v>
      </c>
    </row>
    <row r="35" spans="2:5" x14ac:dyDescent="0.25">
      <c r="B35" s="2"/>
      <c r="C35" s="3" t="s">
        <v>1878</v>
      </c>
      <c r="D35" s="94" t="s">
        <v>283</v>
      </c>
      <c r="E35" s="101">
        <f>Volume!AF376</f>
        <v>1.0125</v>
      </c>
    </row>
    <row r="36" spans="2:5" x14ac:dyDescent="0.25">
      <c r="B36" s="2">
        <v>3</v>
      </c>
      <c r="C36" s="3" t="s">
        <v>1880</v>
      </c>
      <c r="D36" s="94"/>
      <c r="E36" s="101"/>
    </row>
    <row r="37" spans="2:5" x14ac:dyDescent="0.25">
      <c r="B37" s="2"/>
      <c r="C37" s="3" t="s">
        <v>1876</v>
      </c>
      <c r="D37" s="94" t="s">
        <v>159</v>
      </c>
      <c r="E37" s="101">
        <f>Volume!AH346</f>
        <v>103.51875000000001</v>
      </c>
    </row>
    <row r="38" spans="2:5" x14ac:dyDescent="0.25">
      <c r="B38" s="2"/>
      <c r="C38" s="3" t="s">
        <v>1877</v>
      </c>
      <c r="D38" s="94" t="s">
        <v>282</v>
      </c>
      <c r="E38" s="101">
        <f>Volume!AE367</f>
        <v>13.5</v>
      </c>
    </row>
    <row r="39" spans="2:5" x14ac:dyDescent="0.25">
      <c r="B39" s="2"/>
      <c r="C39" s="3" t="s">
        <v>1878</v>
      </c>
      <c r="D39" s="94" t="s">
        <v>283</v>
      </c>
      <c r="E39" s="101">
        <f>Volume!AF376</f>
        <v>1.0125</v>
      </c>
    </row>
    <row r="40" spans="2:5" x14ac:dyDescent="0.25">
      <c r="B40" s="2">
        <v>4</v>
      </c>
      <c r="C40" s="3" t="s">
        <v>169</v>
      </c>
      <c r="D40" s="94"/>
      <c r="E40" s="101"/>
    </row>
    <row r="41" spans="2:5" x14ac:dyDescent="0.25">
      <c r="B41" s="2"/>
      <c r="C41" s="3" t="s">
        <v>1876</v>
      </c>
      <c r="D41" s="94" t="s">
        <v>159</v>
      </c>
      <c r="E41" s="101">
        <f>Volume!AH382</f>
        <v>37</v>
      </c>
    </row>
    <row r="42" spans="2:5" x14ac:dyDescent="0.25">
      <c r="B42" s="2"/>
      <c r="C42" s="3" t="s">
        <v>1877</v>
      </c>
      <c r="D42" s="94" t="s">
        <v>282</v>
      </c>
      <c r="E42" s="101">
        <f>Volume!AE404</f>
        <v>3</v>
      </c>
    </row>
    <row r="43" spans="2:5" x14ac:dyDescent="0.25">
      <c r="B43" s="2"/>
      <c r="C43" s="3" t="s">
        <v>1878</v>
      </c>
      <c r="D43" s="94" t="s">
        <v>283</v>
      </c>
      <c r="E43" s="101">
        <f>Volume!AF412</f>
        <v>0.36</v>
      </c>
    </row>
    <row r="44" spans="2:5" x14ac:dyDescent="0.25">
      <c r="B44" s="2">
        <v>5</v>
      </c>
      <c r="C44" s="3" t="s">
        <v>185</v>
      </c>
      <c r="D44" s="94"/>
      <c r="E44" s="101"/>
    </row>
    <row r="45" spans="2:5" x14ac:dyDescent="0.25">
      <c r="B45" s="2"/>
      <c r="C45" s="3" t="s">
        <v>1876</v>
      </c>
      <c r="D45" s="94" t="s">
        <v>159</v>
      </c>
      <c r="E45" s="101">
        <f>Volume!AH418</f>
        <v>34.533333333333339</v>
      </c>
    </row>
    <row r="46" spans="2:5" x14ac:dyDescent="0.25">
      <c r="B46" s="2"/>
      <c r="C46" s="3" t="s">
        <v>1877</v>
      </c>
      <c r="D46" s="94" t="s">
        <v>282</v>
      </c>
      <c r="E46" s="101">
        <f>Volume!AE440</f>
        <v>2.8</v>
      </c>
    </row>
    <row r="47" spans="2:5" x14ac:dyDescent="0.25">
      <c r="B47" s="2"/>
      <c r="C47" s="3" t="s">
        <v>1878</v>
      </c>
      <c r="D47" s="94" t="s">
        <v>283</v>
      </c>
      <c r="E47" s="101">
        <f>Volume!AF448</f>
        <v>0.33599999999999997</v>
      </c>
    </row>
    <row r="48" spans="2:5" ht="15.75" thickBot="1" x14ac:dyDescent="0.3">
      <c r="B48" s="5"/>
      <c r="C48" s="6"/>
      <c r="D48" s="95"/>
      <c r="E48" s="353"/>
    </row>
    <row r="49" spans="2:5" ht="15.75" thickTop="1" x14ac:dyDescent="0.25">
      <c r="B49" s="100" t="s">
        <v>187</v>
      </c>
      <c r="C49" s="98" t="s">
        <v>295</v>
      </c>
      <c r="D49" s="93"/>
      <c r="E49" s="352"/>
    </row>
    <row r="50" spans="2:5" x14ac:dyDescent="0.25">
      <c r="B50" s="2">
        <v>1</v>
      </c>
      <c r="C50" s="3" t="s">
        <v>1882</v>
      </c>
      <c r="D50" s="94" t="s">
        <v>282</v>
      </c>
      <c r="E50" s="101">
        <f>Volume!AE454</f>
        <v>97.680097680097688</v>
      </c>
    </row>
    <row r="51" spans="2:5" x14ac:dyDescent="0.25">
      <c r="B51" s="2">
        <v>2</v>
      </c>
      <c r="C51" s="3" t="s">
        <v>296</v>
      </c>
      <c r="D51" s="94" t="s">
        <v>284</v>
      </c>
      <c r="E51" s="101">
        <f>Volume!AD466</f>
        <v>39.536019536019538</v>
      </c>
    </row>
    <row r="52" spans="2:5" x14ac:dyDescent="0.25">
      <c r="B52" s="2">
        <v>3</v>
      </c>
      <c r="C52" s="3" t="s">
        <v>1892</v>
      </c>
      <c r="D52" s="94" t="s">
        <v>282</v>
      </c>
      <c r="E52" s="101">
        <f>Volume!AE462</f>
        <v>97.680097680097688</v>
      </c>
    </row>
    <row r="53" spans="2:5" x14ac:dyDescent="0.25">
      <c r="B53" s="2">
        <v>4</v>
      </c>
      <c r="C53" s="3" t="s">
        <v>1893</v>
      </c>
      <c r="D53" s="94" t="s">
        <v>282</v>
      </c>
      <c r="E53" s="101">
        <f>Volume!AE470</f>
        <v>80</v>
      </c>
    </row>
    <row r="54" spans="2:5" x14ac:dyDescent="0.25">
      <c r="B54" s="2">
        <v>5</v>
      </c>
      <c r="C54" s="3" t="s">
        <v>1894</v>
      </c>
      <c r="D54" s="94" t="s">
        <v>282</v>
      </c>
      <c r="E54" s="101">
        <f>Volume!AE475</f>
        <v>80</v>
      </c>
    </row>
    <row r="55" spans="2:5" x14ac:dyDescent="0.25">
      <c r="B55" s="2">
        <v>6</v>
      </c>
      <c r="C55" s="3" t="s">
        <v>297</v>
      </c>
      <c r="D55" s="94" t="s">
        <v>284</v>
      </c>
      <c r="E55" s="101">
        <f>Volume!AE478</f>
        <v>36</v>
      </c>
    </row>
    <row r="56" spans="2:5" x14ac:dyDescent="0.25">
      <c r="B56" s="2"/>
      <c r="C56" s="3"/>
      <c r="D56" s="94"/>
      <c r="E56" s="101"/>
    </row>
    <row r="57" spans="2:5" x14ac:dyDescent="0.25">
      <c r="B57" s="99" t="s">
        <v>204</v>
      </c>
      <c r="C57" s="97" t="s">
        <v>298</v>
      </c>
      <c r="D57" s="94"/>
      <c r="E57" s="101"/>
    </row>
    <row r="58" spans="2:5" x14ac:dyDescent="0.25">
      <c r="B58" s="2">
        <v>1</v>
      </c>
      <c r="C58" s="3" t="s">
        <v>1905</v>
      </c>
      <c r="D58" s="94" t="s">
        <v>283</v>
      </c>
      <c r="E58" s="101">
        <f>Volume!AF482</f>
        <v>0.35040000000000004</v>
      </c>
    </row>
    <row r="59" spans="2:5" x14ac:dyDescent="0.25">
      <c r="B59" s="2">
        <v>2</v>
      </c>
      <c r="C59" s="3" t="s">
        <v>1906</v>
      </c>
      <c r="D59" s="94" t="s">
        <v>282</v>
      </c>
      <c r="E59" s="101">
        <f>Volume!S588</f>
        <v>6.5280000000000005</v>
      </c>
    </row>
    <row r="60" spans="2:5" x14ac:dyDescent="0.25">
      <c r="B60" s="2">
        <v>3</v>
      </c>
      <c r="C60" s="3" t="s">
        <v>224</v>
      </c>
      <c r="D60" s="94" t="s">
        <v>282</v>
      </c>
      <c r="E60" s="101">
        <f>Volume!S595</f>
        <v>1.4279999999999999</v>
      </c>
    </row>
    <row r="61" spans="2:5" x14ac:dyDescent="0.25">
      <c r="B61" s="2">
        <v>4</v>
      </c>
      <c r="C61" s="3" t="s">
        <v>299</v>
      </c>
      <c r="D61" s="94" t="s">
        <v>282</v>
      </c>
      <c r="E61" s="101">
        <f>Volume!S603</f>
        <v>0.81199999999999994</v>
      </c>
    </row>
    <row r="62" spans="2:5" x14ac:dyDescent="0.25">
      <c r="B62" s="2">
        <v>5</v>
      </c>
      <c r="C62" s="3" t="s">
        <v>300</v>
      </c>
      <c r="D62" s="94" t="s">
        <v>282</v>
      </c>
      <c r="E62" s="101">
        <f>Volume!S617</f>
        <v>2.3040000000000003</v>
      </c>
    </row>
    <row r="63" spans="2:5" x14ac:dyDescent="0.25">
      <c r="B63" s="2"/>
      <c r="C63" s="3"/>
      <c r="D63" s="94"/>
      <c r="E63" s="101"/>
    </row>
    <row r="64" spans="2:5" x14ac:dyDescent="0.25">
      <c r="B64" s="99" t="s">
        <v>228</v>
      </c>
      <c r="C64" s="97" t="s">
        <v>301</v>
      </c>
      <c r="D64" s="94"/>
      <c r="E64" s="101"/>
    </row>
    <row r="65" spans="2:5" x14ac:dyDescent="0.25">
      <c r="B65" s="2">
        <v>1</v>
      </c>
      <c r="C65" s="3" t="s">
        <v>302</v>
      </c>
      <c r="D65" s="94" t="s">
        <v>282</v>
      </c>
      <c r="E65" s="101">
        <f>Volume!AE623</f>
        <v>44.37</v>
      </c>
    </row>
    <row r="66" spans="2:5" x14ac:dyDescent="0.25">
      <c r="B66" s="2">
        <v>2</v>
      </c>
      <c r="C66" s="3" t="s">
        <v>303</v>
      </c>
      <c r="D66" s="94" t="s">
        <v>282</v>
      </c>
      <c r="E66" s="101">
        <f>Volume!AE633</f>
        <v>2.8800000000000003</v>
      </c>
    </row>
    <row r="67" spans="2:5" x14ac:dyDescent="0.25">
      <c r="B67" s="2"/>
      <c r="C67" s="3"/>
      <c r="D67" s="94"/>
      <c r="E67" s="101"/>
    </row>
    <row r="68" spans="2:5" x14ac:dyDescent="0.25">
      <c r="B68" s="99" t="s">
        <v>285</v>
      </c>
      <c r="C68" s="97" t="s">
        <v>304</v>
      </c>
      <c r="D68" s="94"/>
      <c r="E68" s="101"/>
    </row>
    <row r="69" spans="2:5" x14ac:dyDescent="0.25">
      <c r="B69" s="2">
        <v>1</v>
      </c>
      <c r="C69" s="3" t="s">
        <v>1908</v>
      </c>
      <c r="D69" s="94" t="s">
        <v>286</v>
      </c>
      <c r="E69" s="101">
        <f>Volume!AG648</f>
        <v>4</v>
      </c>
    </row>
    <row r="70" spans="2:5" x14ac:dyDescent="0.25">
      <c r="B70" s="2">
        <v>2</v>
      </c>
      <c r="C70" s="3" t="s">
        <v>241</v>
      </c>
      <c r="D70" s="94" t="s">
        <v>286</v>
      </c>
      <c r="E70" s="101">
        <f>Volume!AG649</f>
        <v>1</v>
      </c>
    </row>
    <row r="71" spans="2:5" x14ac:dyDescent="0.25">
      <c r="B71" s="2">
        <v>3</v>
      </c>
      <c r="C71" s="3" t="s">
        <v>1909</v>
      </c>
      <c r="D71" s="94" t="s">
        <v>286</v>
      </c>
      <c r="E71" s="101">
        <f>Volume!AG650</f>
        <v>5</v>
      </c>
    </row>
    <row r="72" spans="2:5" x14ac:dyDescent="0.25">
      <c r="B72" s="2">
        <v>4</v>
      </c>
      <c r="C72" s="3" t="s">
        <v>1910</v>
      </c>
      <c r="D72" s="94" t="s">
        <v>286</v>
      </c>
      <c r="E72" s="101">
        <f>Volume!AG651</f>
        <v>4</v>
      </c>
    </row>
    <row r="73" spans="2:5" x14ac:dyDescent="0.25">
      <c r="B73" s="2">
        <v>5</v>
      </c>
      <c r="C73" s="3" t="s">
        <v>242</v>
      </c>
      <c r="D73" s="94" t="s">
        <v>286</v>
      </c>
      <c r="E73" s="101">
        <f>Volume!AG652</f>
        <v>15</v>
      </c>
    </row>
    <row r="74" spans="2:5" x14ac:dyDescent="0.25">
      <c r="B74" s="2">
        <v>6</v>
      </c>
      <c r="C74" s="3" t="s">
        <v>243</v>
      </c>
      <c r="D74" s="94" t="s">
        <v>286</v>
      </c>
      <c r="E74" s="101">
        <f>Volume!AG653</f>
        <v>8</v>
      </c>
    </row>
    <row r="75" spans="2:5" x14ac:dyDescent="0.25">
      <c r="B75" s="2">
        <v>7</v>
      </c>
      <c r="C75" s="3" t="s">
        <v>244</v>
      </c>
      <c r="D75" s="94" t="s">
        <v>286</v>
      </c>
      <c r="E75" s="101">
        <f>Volume!AG654</f>
        <v>8</v>
      </c>
    </row>
    <row r="76" spans="2:5" x14ac:dyDescent="0.25">
      <c r="B76" s="2"/>
      <c r="C76" s="3"/>
      <c r="D76" s="94"/>
      <c r="E76" s="101"/>
    </row>
    <row r="77" spans="2:5" x14ac:dyDescent="0.25">
      <c r="B77" s="99" t="s">
        <v>246</v>
      </c>
      <c r="C77" s="97" t="s">
        <v>305</v>
      </c>
      <c r="D77" s="94"/>
      <c r="E77" s="101"/>
    </row>
    <row r="78" spans="2:5" x14ac:dyDescent="0.25">
      <c r="B78" s="2">
        <v>1</v>
      </c>
      <c r="C78" s="3" t="s">
        <v>306</v>
      </c>
      <c r="D78" s="94" t="s">
        <v>286</v>
      </c>
      <c r="E78" s="101">
        <f>Volume!AG658</f>
        <v>2</v>
      </c>
    </row>
    <row r="79" spans="2:5" x14ac:dyDescent="0.25">
      <c r="B79" s="2">
        <v>2</v>
      </c>
      <c r="C79" s="3" t="s">
        <v>307</v>
      </c>
      <c r="D79" s="94" t="s">
        <v>286</v>
      </c>
      <c r="E79" s="101">
        <f>Volume!AG659</f>
        <v>5</v>
      </c>
    </row>
    <row r="80" spans="2:5" x14ac:dyDescent="0.25">
      <c r="B80" s="2">
        <v>3</v>
      </c>
      <c r="C80" s="3" t="s">
        <v>308</v>
      </c>
      <c r="D80" s="94" t="s">
        <v>286</v>
      </c>
      <c r="E80" s="101">
        <f>Volume!AG660</f>
        <v>1</v>
      </c>
    </row>
    <row r="81" spans="2:5" x14ac:dyDescent="0.25">
      <c r="B81" s="2">
        <v>4</v>
      </c>
      <c r="C81" s="3" t="s">
        <v>248</v>
      </c>
      <c r="D81" s="94" t="s">
        <v>286</v>
      </c>
      <c r="E81" s="101">
        <f>Volume!AG661</f>
        <v>2</v>
      </c>
    </row>
    <row r="82" spans="2:5" x14ac:dyDescent="0.25">
      <c r="B82" s="2">
        <v>5</v>
      </c>
      <c r="C82" s="3" t="s">
        <v>249</v>
      </c>
      <c r="D82" s="94" t="s">
        <v>286</v>
      </c>
      <c r="E82" s="101">
        <f>Volume!AG662</f>
        <v>4</v>
      </c>
    </row>
    <row r="83" spans="2:5" x14ac:dyDescent="0.25">
      <c r="B83" s="2">
        <v>6</v>
      </c>
      <c r="C83" s="3" t="s">
        <v>250</v>
      </c>
      <c r="D83" s="94" t="s">
        <v>286</v>
      </c>
      <c r="E83" s="101">
        <f>Volume!AG663</f>
        <v>4</v>
      </c>
    </row>
    <row r="84" spans="2:5" x14ac:dyDescent="0.25">
      <c r="B84" s="2">
        <v>7</v>
      </c>
      <c r="C84" s="3" t="s">
        <v>251</v>
      </c>
      <c r="D84" s="94" t="s">
        <v>286</v>
      </c>
      <c r="E84" s="101">
        <f>Volume!AG664</f>
        <v>1</v>
      </c>
    </row>
    <row r="85" spans="2:5" x14ac:dyDescent="0.25">
      <c r="B85" s="2">
        <v>8</v>
      </c>
      <c r="C85" s="3" t="s">
        <v>252</v>
      </c>
      <c r="D85" s="94" t="s">
        <v>286</v>
      </c>
      <c r="E85" s="101">
        <f>Volume!AG665</f>
        <v>1</v>
      </c>
    </row>
    <row r="86" spans="2:5" x14ac:dyDescent="0.25">
      <c r="B86" s="2">
        <v>9</v>
      </c>
      <c r="C86" s="3" t="s">
        <v>253</v>
      </c>
      <c r="D86" s="94" t="s">
        <v>286</v>
      </c>
      <c r="E86" s="101">
        <f>Volume!AG666</f>
        <v>1</v>
      </c>
    </row>
    <row r="87" spans="2:5" x14ac:dyDescent="0.25">
      <c r="B87" s="2">
        <v>10</v>
      </c>
      <c r="C87" s="3" t="s">
        <v>254</v>
      </c>
      <c r="D87" s="94" t="s">
        <v>286</v>
      </c>
      <c r="E87" s="101">
        <f>Volume!AG667</f>
        <v>4</v>
      </c>
    </row>
    <row r="88" spans="2:5" x14ac:dyDescent="0.25">
      <c r="B88" s="2">
        <v>11</v>
      </c>
      <c r="C88" s="3" t="s">
        <v>255</v>
      </c>
      <c r="D88" s="94" t="s">
        <v>286</v>
      </c>
      <c r="E88" s="101">
        <f>Volume!AG668</f>
        <v>1</v>
      </c>
    </row>
    <row r="89" spans="2:5" x14ac:dyDescent="0.25">
      <c r="B89" s="2">
        <v>12</v>
      </c>
      <c r="C89" s="3" t="s">
        <v>256</v>
      </c>
      <c r="D89" s="94" t="s">
        <v>286</v>
      </c>
      <c r="E89" s="101">
        <f>Volume!AG669</f>
        <v>1</v>
      </c>
    </row>
    <row r="90" spans="2:5" x14ac:dyDescent="0.25">
      <c r="B90" s="2"/>
      <c r="C90" s="3"/>
      <c r="D90" s="94"/>
      <c r="E90" s="101"/>
    </row>
    <row r="91" spans="2:5" x14ac:dyDescent="0.25">
      <c r="B91" s="99" t="s">
        <v>16</v>
      </c>
      <c r="C91" s="97" t="s">
        <v>260</v>
      </c>
      <c r="D91" s="94"/>
      <c r="E91" s="101"/>
    </row>
    <row r="92" spans="2:5" x14ac:dyDescent="0.25">
      <c r="B92" s="2">
        <v>1</v>
      </c>
      <c r="C92" s="3" t="s">
        <v>309</v>
      </c>
      <c r="D92" s="94" t="s">
        <v>282</v>
      </c>
      <c r="E92" s="101">
        <f>Volume!AE676</f>
        <v>320.81</v>
      </c>
    </row>
    <row r="93" spans="2:5" x14ac:dyDescent="0.25">
      <c r="B93" s="2">
        <v>2</v>
      </c>
      <c r="C93" s="3" t="s">
        <v>310</v>
      </c>
      <c r="D93" s="94" t="s">
        <v>282</v>
      </c>
      <c r="E93" s="101">
        <f>Volume!AE679</f>
        <v>80</v>
      </c>
    </row>
    <row r="94" spans="2:5" x14ac:dyDescent="0.25">
      <c r="B94" s="2">
        <v>3</v>
      </c>
      <c r="C94" s="3" t="s">
        <v>311</v>
      </c>
      <c r="D94" s="94" t="s">
        <v>282</v>
      </c>
      <c r="E94" s="101">
        <f>Volume!AE681</f>
        <v>6.0587999999999997</v>
      </c>
    </row>
    <row r="95" spans="2:5" x14ac:dyDescent="0.25">
      <c r="B95" s="2">
        <v>4</v>
      </c>
      <c r="C95" s="3" t="s">
        <v>312</v>
      </c>
      <c r="D95" s="94" t="s">
        <v>282</v>
      </c>
      <c r="E95" s="101">
        <f>Volume!AE681</f>
        <v>6.0587999999999997</v>
      </c>
    </row>
    <row r="96" spans="2:5" ht="15.75" thickBot="1" x14ac:dyDescent="0.3">
      <c r="B96" s="5"/>
      <c r="C96" s="6"/>
      <c r="D96" s="95"/>
      <c r="E96" s="353"/>
    </row>
    <row r="97" spans="2:5" ht="15.75" thickTop="1" x14ac:dyDescent="0.25">
      <c r="B97" s="100" t="s">
        <v>270</v>
      </c>
      <c r="C97" s="98" t="s">
        <v>271</v>
      </c>
      <c r="D97" s="93"/>
      <c r="E97" s="352"/>
    </row>
    <row r="98" spans="2:5" x14ac:dyDescent="0.25">
      <c r="B98" s="2">
        <v>1</v>
      </c>
      <c r="C98" s="3" t="s">
        <v>272</v>
      </c>
      <c r="D98" s="94" t="s">
        <v>283</v>
      </c>
      <c r="E98" s="101">
        <f>Volume!AE698</f>
        <v>12.774000000000001</v>
      </c>
    </row>
    <row r="99" spans="2:5" x14ac:dyDescent="0.25">
      <c r="B99" s="2">
        <v>2</v>
      </c>
      <c r="C99" s="3" t="s">
        <v>276</v>
      </c>
      <c r="D99" s="94" t="s">
        <v>282</v>
      </c>
      <c r="E99" s="101">
        <f>Volume!AE719</f>
        <v>24.959999999999997</v>
      </c>
    </row>
    <row r="100" spans="2:5" x14ac:dyDescent="0.25">
      <c r="B100" s="2">
        <v>3</v>
      </c>
      <c r="C100" s="3" t="s">
        <v>313</v>
      </c>
      <c r="D100" s="94" t="s">
        <v>283</v>
      </c>
      <c r="E100" s="101">
        <f>Volume!AF740</f>
        <v>0.432</v>
      </c>
    </row>
    <row r="101" spans="2:5" x14ac:dyDescent="0.25">
      <c r="B101" s="2">
        <v>4</v>
      </c>
      <c r="C101" s="3" t="s">
        <v>1898</v>
      </c>
      <c r="D101" s="94" t="s">
        <v>283</v>
      </c>
      <c r="E101" s="101">
        <f>Volume!AF746</f>
        <v>0.42750000000000005</v>
      </c>
    </row>
    <row r="102" spans="2:5" x14ac:dyDescent="0.25">
      <c r="B102" s="2">
        <v>5</v>
      </c>
      <c r="C102" s="3" t="s">
        <v>314</v>
      </c>
      <c r="D102" s="94" t="s">
        <v>283</v>
      </c>
      <c r="E102" s="101">
        <f>Volume!AF752</f>
        <v>0.432</v>
      </c>
    </row>
    <row r="103" spans="2:5" x14ac:dyDescent="0.25">
      <c r="B103" s="2">
        <v>6</v>
      </c>
      <c r="C103" s="3" t="s">
        <v>1899</v>
      </c>
      <c r="D103" s="94" t="s">
        <v>283</v>
      </c>
      <c r="E103" s="101">
        <f>Volume!AF758</f>
        <v>0.432</v>
      </c>
    </row>
    <row r="104" spans="2:5" x14ac:dyDescent="0.25">
      <c r="B104" s="2">
        <v>7</v>
      </c>
      <c r="C104" s="3" t="s">
        <v>315</v>
      </c>
      <c r="D104" s="94" t="s">
        <v>282</v>
      </c>
      <c r="E104" s="101">
        <f>Volume!AE764</f>
        <v>5.1199999999999992</v>
      </c>
    </row>
    <row r="105" spans="2:5" x14ac:dyDescent="0.25">
      <c r="B105" s="2">
        <v>8</v>
      </c>
      <c r="C105" s="3" t="s">
        <v>316</v>
      </c>
      <c r="D105" s="94" t="s">
        <v>283</v>
      </c>
      <c r="E105" s="101">
        <f>Volume!AF777</f>
        <v>0.28350000000000003</v>
      </c>
    </row>
    <row r="106" spans="2:5" x14ac:dyDescent="0.25">
      <c r="B106" s="2">
        <v>9</v>
      </c>
      <c r="C106" s="3" t="s">
        <v>317</v>
      </c>
      <c r="D106" s="94" t="s">
        <v>283</v>
      </c>
      <c r="E106" s="101">
        <f>Volume!AF790</f>
        <v>0.20249999999999999</v>
      </c>
    </row>
    <row r="107" spans="2:5" x14ac:dyDescent="0.25">
      <c r="B107" s="2">
        <v>10</v>
      </c>
      <c r="C107" s="3" t="s">
        <v>318</v>
      </c>
      <c r="D107" s="94" t="s">
        <v>283</v>
      </c>
      <c r="E107" s="101">
        <f>Volume!AF797</f>
        <v>0.11199999999999999</v>
      </c>
    </row>
    <row r="108" spans="2:5" x14ac:dyDescent="0.25">
      <c r="B108" s="2">
        <v>11</v>
      </c>
      <c r="C108" s="3" t="s">
        <v>319</v>
      </c>
      <c r="D108" s="94" t="s">
        <v>283</v>
      </c>
      <c r="E108" s="101">
        <f>Volume!AF804</f>
        <v>0.24975</v>
      </c>
    </row>
    <row r="109" spans="2:5" x14ac:dyDescent="0.25">
      <c r="B109" s="2">
        <v>12</v>
      </c>
      <c r="C109" s="3" t="s">
        <v>320</v>
      </c>
      <c r="D109" s="94" t="s">
        <v>283</v>
      </c>
      <c r="E109" s="101">
        <f>Volume!AF823</f>
        <v>0.16800000000000001</v>
      </c>
    </row>
    <row r="110" spans="2:5" x14ac:dyDescent="0.25">
      <c r="B110" s="2">
        <v>13</v>
      </c>
      <c r="C110" s="3" t="s">
        <v>321</v>
      </c>
      <c r="D110" s="94" t="s">
        <v>283</v>
      </c>
      <c r="E110" s="101">
        <f>Volume!AF830</f>
        <v>0.59075</v>
      </c>
    </row>
    <row r="111" spans="2:5" x14ac:dyDescent="0.25">
      <c r="B111" s="2">
        <v>14</v>
      </c>
      <c r="C111" s="3" t="s">
        <v>322</v>
      </c>
      <c r="D111" s="94" t="s">
        <v>284</v>
      </c>
      <c r="E111" s="101">
        <f>Volume!AE846</f>
        <v>3</v>
      </c>
    </row>
    <row r="112" spans="2:5" x14ac:dyDescent="0.25">
      <c r="B112" s="2">
        <v>15</v>
      </c>
      <c r="C112" s="3" t="s">
        <v>323</v>
      </c>
      <c r="D112" s="94" t="s">
        <v>286</v>
      </c>
      <c r="E112" s="101">
        <f>Volume!AH849</f>
        <v>1</v>
      </c>
    </row>
    <row r="113" spans="2:5" x14ac:dyDescent="0.25">
      <c r="B113" s="2">
        <v>16</v>
      </c>
      <c r="C113" s="3" t="s">
        <v>324</v>
      </c>
      <c r="D113" s="94" t="s">
        <v>282</v>
      </c>
      <c r="E113" s="101">
        <f>Volume!AE851</f>
        <v>34.14</v>
      </c>
    </row>
    <row r="114" spans="2:5" x14ac:dyDescent="0.25">
      <c r="B114" s="2"/>
      <c r="C114" s="3"/>
      <c r="D114" s="94"/>
      <c r="E114" s="101"/>
    </row>
    <row r="115" spans="2:5" x14ac:dyDescent="0.25">
      <c r="B115" s="99" t="s">
        <v>325</v>
      </c>
      <c r="C115" s="97" t="s">
        <v>326</v>
      </c>
      <c r="D115" s="94"/>
      <c r="E115" s="101"/>
    </row>
    <row r="116" spans="2:5" x14ac:dyDescent="0.25">
      <c r="B116" s="2">
        <v>1</v>
      </c>
      <c r="C116" s="3" t="s">
        <v>327</v>
      </c>
      <c r="D116" s="94" t="s">
        <v>7</v>
      </c>
      <c r="E116" s="101">
        <v>1</v>
      </c>
    </row>
    <row r="117" spans="2:5" x14ac:dyDescent="0.25">
      <c r="B117" s="2"/>
      <c r="C117" s="3"/>
      <c r="D117" s="94"/>
      <c r="E117" s="101"/>
    </row>
    <row r="118" spans="2:5" x14ac:dyDescent="0.25">
      <c r="B118" s="2"/>
      <c r="C118" s="3"/>
      <c r="D118" s="94"/>
      <c r="E118" s="101"/>
    </row>
    <row r="119" spans="2:5" ht="15.75" thickBot="1" x14ac:dyDescent="0.3">
      <c r="B119" s="5"/>
      <c r="C119" s="6"/>
      <c r="D119" s="95"/>
      <c r="E119" s="353"/>
    </row>
    <row r="120" spans="2:5" ht="15.75" thickTop="1" x14ac:dyDescent="0.25"/>
  </sheetData>
  <mergeCells count="5">
    <mergeCell ref="B2:E2"/>
    <mergeCell ref="B5:B6"/>
    <mergeCell ref="C5:C6"/>
    <mergeCell ref="D5:D6"/>
    <mergeCell ref="E5:E6"/>
  </mergeCells>
  <printOptions horizontalCentered="1"/>
  <pageMargins left="0.7" right="0.7" top="0.75" bottom="0.04" header="0.3" footer="0.3"/>
  <pageSetup paperSize="9" orientation="portrait" horizontalDpi="1200" verticalDpi="1200" r:id="rId1"/>
  <rowBreaks count="2" manualBreakCount="2">
    <brk id="48" min="1" max="4" man="1"/>
    <brk id="96" min="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Z864"/>
  <sheetViews>
    <sheetView showGridLines="0" zoomScale="80" zoomScaleNormal="80" zoomScaleSheetLayoutView="80" workbookViewId="0">
      <pane ySplit="6" topLeftCell="A7" activePane="bottomLeft" state="frozen"/>
      <selection pane="bottomLeft" activeCell="AH826" sqref="AH826"/>
    </sheetView>
  </sheetViews>
  <sheetFormatPr defaultRowHeight="15" x14ac:dyDescent="0.25"/>
  <cols>
    <col min="1" max="1" width="5.140625" customWidth="1"/>
    <col min="2" max="3" width="9.7109375" customWidth="1"/>
    <col min="4" max="4" width="6.5703125" customWidth="1"/>
    <col min="5" max="13" width="5.7109375" customWidth="1"/>
    <col min="14" max="14" width="2" customWidth="1"/>
    <col min="15" max="17" width="4.85546875" customWidth="1"/>
    <col min="18" max="18" width="6" customWidth="1"/>
    <col min="19" max="19" width="6.140625" customWidth="1"/>
    <col min="20" max="20" width="6.42578125" customWidth="1"/>
    <col min="21" max="21" width="4.85546875" customWidth="1"/>
    <col min="22" max="22" width="5.7109375" customWidth="1"/>
    <col min="23" max="28" width="4.85546875" customWidth="1"/>
    <col min="29" max="29" width="3" customWidth="1"/>
    <col min="30" max="33" width="7.7109375" customWidth="1"/>
    <col min="34" max="34" width="9.140625" customWidth="1"/>
    <col min="35" max="35" width="13" customWidth="1"/>
    <col min="36" max="36" width="9.28515625" bestFit="1" customWidth="1"/>
    <col min="37" max="37" width="9.5703125" bestFit="1" customWidth="1"/>
    <col min="38" max="38" width="11.28515625" bestFit="1" customWidth="1"/>
  </cols>
  <sheetData>
    <row r="1" spans="1:36" ht="18.75" x14ac:dyDescent="0.3">
      <c r="A1" s="460" t="s">
        <v>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1"/>
    </row>
    <row r="2" spans="1:36" ht="18.75" x14ac:dyDescent="0.3">
      <c r="A2" s="460" t="s">
        <v>280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460"/>
      <c r="AD2" s="460"/>
      <c r="AE2" s="460"/>
      <c r="AF2" s="460"/>
      <c r="AG2" s="460"/>
      <c r="AH2" s="460"/>
      <c r="AI2" s="460"/>
      <c r="AJ2" s="1"/>
    </row>
    <row r="3" spans="1:36" ht="15.75" thickBot="1" x14ac:dyDescent="0.3"/>
    <row r="4" spans="1:36" ht="15.75" thickTop="1" x14ac:dyDescent="0.25">
      <c r="A4" s="461" t="s">
        <v>1</v>
      </c>
      <c r="B4" s="463" t="s">
        <v>2</v>
      </c>
      <c r="C4" s="463"/>
      <c r="D4" s="463"/>
      <c r="E4" s="463" t="s">
        <v>3</v>
      </c>
      <c r="F4" s="463"/>
      <c r="G4" s="463"/>
      <c r="H4" s="463"/>
      <c r="I4" s="463"/>
      <c r="J4" s="463"/>
      <c r="K4" s="463"/>
      <c r="L4" s="463"/>
      <c r="M4" s="463"/>
      <c r="N4" s="463"/>
      <c r="O4" s="463" t="s">
        <v>4</v>
      </c>
      <c r="P4" s="463"/>
      <c r="Q4" s="463"/>
      <c r="R4" s="463"/>
      <c r="S4" s="463"/>
      <c r="T4" s="463"/>
      <c r="U4" s="463"/>
      <c r="V4" s="463"/>
      <c r="W4" s="463"/>
      <c r="X4" s="463"/>
      <c r="Y4" s="463"/>
      <c r="Z4" s="463"/>
      <c r="AA4" s="463"/>
      <c r="AB4" s="463"/>
      <c r="AC4" s="463"/>
      <c r="AD4" s="463" t="s">
        <v>5</v>
      </c>
      <c r="AE4" s="463"/>
      <c r="AF4" s="463"/>
      <c r="AG4" s="463"/>
      <c r="AH4" s="463"/>
      <c r="AI4" s="44"/>
    </row>
    <row r="5" spans="1:36" ht="17.25" x14ac:dyDescent="0.25">
      <c r="A5" s="462"/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  <c r="P5" s="464"/>
      <c r="Q5" s="464"/>
      <c r="R5" s="464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5" t="s">
        <v>75</v>
      </c>
      <c r="AE5" s="45" t="s">
        <v>76</v>
      </c>
      <c r="AF5" s="45" t="s">
        <v>77</v>
      </c>
      <c r="AG5" s="45" t="s">
        <v>6</v>
      </c>
      <c r="AH5" s="45" t="s">
        <v>167</v>
      </c>
      <c r="AI5" s="46" t="s">
        <v>8</v>
      </c>
    </row>
    <row r="6" spans="1:36" ht="15.75" thickBot="1" x14ac:dyDescent="0.3">
      <c r="A6" s="47">
        <v>1</v>
      </c>
      <c r="B6" s="466">
        <v>2</v>
      </c>
      <c r="C6" s="466"/>
      <c r="D6" s="466"/>
      <c r="E6" s="466">
        <v>3</v>
      </c>
      <c r="F6" s="466"/>
      <c r="G6" s="466"/>
      <c r="H6" s="466"/>
      <c r="I6" s="466"/>
      <c r="J6" s="466"/>
      <c r="K6" s="466"/>
      <c r="L6" s="466"/>
      <c r="M6" s="466"/>
      <c r="N6" s="466"/>
      <c r="O6" s="466">
        <v>4</v>
      </c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8">
        <v>5</v>
      </c>
      <c r="AE6" s="48">
        <v>6</v>
      </c>
      <c r="AF6" s="48">
        <v>7</v>
      </c>
      <c r="AG6" s="48">
        <v>8</v>
      </c>
      <c r="AH6" s="48">
        <v>9</v>
      </c>
      <c r="AI6" s="49">
        <v>10</v>
      </c>
    </row>
    <row r="7" spans="1:36" ht="16.5" thickTop="1" thickBot="1" x14ac:dyDescent="0.3">
      <c r="A7" s="8"/>
      <c r="B7" s="83"/>
      <c r="C7" s="84"/>
      <c r="D7" s="85"/>
      <c r="E7" s="83"/>
      <c r="F7" s="84"/>
      <c r="G7" s="84"/>
      <c r="H7" s="84"/>
      <c r="I7" s="84"/>
      <c r="J7" s="84"/>
      <c r="K7" s="84"/>
      <c r="L7" s="84"/>
      <c r="M7" s="84"/>
      <c r="N7" s="85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3"/>
      <c r="AD7" s="9"/>
      <c r="AE7" s="9"/>
      <c r="AF7" s="9"/>
      <c r="AG7" s="9"/>
      <c r="AH7" s="9"/>
      <c r="AI7" s="10"/>
    </row>
    <row r="8" spans="1:36" ht="19.5" thickBot="1" x14ac:dyDescent="0.35">
      <c r="A8" s="82"/>
      <c r="B8" s="467" t="s">
        <v>279</v>
      </c>
      <c r="C8" s="468"/>
      <c r="D8" s="468"/>
      <c r="E8" s="468"/>
      <c r="F8" s="468"/>
      <c r="G8" s="468"/>
      <c r="H8" s="468"/>
      <c r="I8" s="468"/>
      <c r="J8" s="468"/>
      <c r="K8" s="468"/>
      <c r="L8" s="468"/>
      <c r="M8" s="468"/>
      <c r="N8" s="469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81"/>
      <c r="AD8" s="9"/>
      <c r="AE8" s="9"/>
      <c r="AF8" s="9"/>
      <c r="AG8" s="9"/>
      <c r="AH8" s="9"/>
      <c r="AI8" s="10"/>
    </row>
    <row r="9" spans="1:36" x14ac:dyDescent="0.25">
      <c r="A9" s="8"/>
      <c r="B9" s="80"/>
      <c r="C9" s="50"/>
      <c r="D9" s="81"/>
      <c r="E9" s="80"/>
      <c r="F9" s="50"/>
      <c r="G9" s="50"/>
      <c r="H9" s="50"/>
      <c r="I9" s="50"/>
      <c r="K9" s="50"/>
      <c r="L9" s="50"/>
      <c r="M9" s="50"/>
      <c r="N9" s="81"/>
      <c r="O9" s="8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81"/>
      <c r="AD9" s="9"/>
      <c r="AE9" s="9"/>
      <c r="AF9" s="9"/>
      <c r="AG9" s="9"/>
      <c r="AH9" s="9"/>
      <c r="AI9" s="10"/>
    </row>
    <row r="10" spans="1:36" x14ac:dyDescent="0.25">
      <c r="A10" s="20" t="s">
        <v>9</v>
      </c>
      <c r="B10" s="21" t="s">
        <v>10</v>
      </c>
      <c r="C10" s="15"/>
      <c r="D10" s="16"/>
      <c r="E10" s="14"/>
      <c r="F10" s="15"/>
      <c r="G10" s="15"/>
      <c r="H10" s="15"/>
      <c r="I10" s="15"/>
      <c r="K10" s="15"/>
      <c r="L10" s="15"/>
      <c r="M10" s="15"/>
      <c r="N10" s="16"/>
      <c r="O10" s="1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6"/>
      <c r="AD10" s="3"/>
      <c r="AE10" s="3"/>
      <c r="AF10" s="3"/>
      <c r="AG10" s="3"/>
      <c r="AH10" s="3"/>
      <c r="AI10" s="4"/>
    </row>
    <row r="11" spans="1:36" x14ac:dyDescent="0.25">
      <c r="A11" s="2">
        <v>1</v>
      </c>
      <c r="B11" s="14" t="s">
        <v>11</v>
      </c>
      <c r="C11" s="15"/>
      <c r="D11" s="16"/>
      <c r="E11" s="14" t="s">
        <v>21</v>
      </c>
      <c r="F11" s="15"/>
      <c r="G11" s="25">
        <v>20</v>
      </c>
      <c r="H11" s="15"/>
      <c r="I11" s="15"/>
      <c r="J11" s="15"/>
      <c r="K11" s="15"/>
      <c r="L11" s="15"/>
      <c r="M11" s="15"/>
      <c r="N11" s="16"/>
      <c r="O11" s="14" t="s">
        <v>15</v>
      </c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6"/>
      <c r="AD11" s="3"/>
      <c r="AE11" s="3"/>
      <c r="AF11" s="3"/>
      <c r="AG11" s="3"/>
      <c r="AH11" s="3"/>
      <c r="AI11" s="4"/>
    </row>
    <row r="12" spans="1:36" x14ac:dyDescent="0.25">
      <c r="A12" s="2"/>
      <c r="B12" s="14"/>
      <c r="C12" s="15"/>
      <c r="D12" s="16"/>
      <c r="E12" s="14" t="s">
        <v>22</v>
      </c>
      <c r="F12" s="15"/>
      <c r="G12" s="25">
        <v>10</v>
      </c>
      <c r="H12" s="15"/>
      <c r="I12" s="15"/>
      <c r="J12" s="15"/>
      <c r="K12" s="15"/>
      <c r="L12" s="15"/>
      <c r="M12" s="15"/>
      <c r="N12" s="16"/>
      <c r="O12" s="14">
        <f>G12</f>
        <v>10</v>
      </c>
      <c r="P12" s="22" t="s">
        <v>16</v>
      </c>
      <c r="Q12" s="15">
        <f>G11</f>
        <v>20</v>
      </c>
      <c r="R12" s="15" t="s">
        <v>17</v>
      </c>
      <c r="S12" s="15">
        <f>O12*Q12</f>
        <v>200</v>
      </c>
      <c r="T12" s="15"/>
      <c r="U12" s="15"/>
      <c r="V12" s="15"/>
      <c r="W12" s="15"/>
      <c r="X12" s="15"/>
      <c r="Y12" s="15"/>
      <c r="Z12" s="15"/>
      <c r="AA12" s="15"/>
      <c r="AB12" s="15"/>
      <c r="AC12" s="16"/>
      <c r="AD12" s="3"/>
      <c r="AE12" s="26">
        <f>S12</f>
        <v>200</v>
      </c>
      <c r="AF12" s="3"/>
      <c r="AG12" s="3"/>
      <c r="AH12" s="3"/>
      <c r="AI12" s="4"/>
    </row>
    <row r="13" spans="1:36" x14ac:dyDescent="0.25">
      <c r="A13" s="2"/>
      <c r="B13" s="14"/>
      <c r="C13" s="15"/>
      <c r="D13" s="16"/>
      <c r="E13" s="14"/>
      <c r="F13" s="15"/>
      <c r="G13" s="15"/>
      <c r="H13" s="15"/>
      <c r="I13" s="15"/>
      <c r="J13" s="15"/>
      <c r="K13" s="15"/>
      <c r="L13" s="15"/>
      <c r="M13" s="15"/>
      <c r="N13" s="16"/>
      <c r="O13" s="14"/>
      <c r="P13" s="22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6"/>
      <c r="AD13" s="3"/>
      <c r="AE13" s="3"/>
      <c r="AF13" s="3"/>
      <c r="AG13" s="3"/>
      <c r="AH13" s="3"/>
      <c r="AI13" s="4"/>
    </row>
    <row r="14" spans="1:36" x14ac:dyDescent="0.25">
      <c r="A14" s="2">
        <v>2</v>
      </c>
      <c r="B14" s="14" t="s">
        <v>12</v>
      </c>
      <c r="C14" s="15"/>
      <c r="D14" s="16"/>
      <c r="E14" s="14"/>
      <c r="F14" s="15"/>
      <c r="G14" s="15"/>
      <c r="H14" s="15"/>
      <c r="I14" s="15"/>
      <c r="J14" s="23">
        <v>6</v>
      </c>
      <c r="K14" s="15"/>
      <c r="L14" s="15"/>
      <c r="M14" s="15"/>
      <c r="N14" s="16"/>
      <c r="O14" s="14" t="s">
        <v>18</v>
      </c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6"/>
      <c r="AD14" s="3"/>
      <c r="AE14" s="3"/>
      <c r="AF14" s="3"/>
      <c r="AG14" s="3"/>
      <c r="AH14" s="3"/>
      <c r="AI14" s="4"/>
    </row>
    <row r="15" spans="1:36" x14ac:dyDescent="0.25">
      <c r="A15" s="2"/>
      <c r="B15" s="14"/>
      <c r="C15" s="15"/>
      <c r="D15" s="16"/>
      <c r="E15" s="14"/>
      <c r="F15" s="15"/>
      <c r="G15" s="15"/>
      <c r="H15" s="15"/>
      <c r="I15" s="15"/>
      <c r="L15" s="15"/>
      <c r="M15" s="15"/>
      <c r="N15" s="16"/>
      <c r="O15" s="14" t="s">
        <v>21</v>
      </c>
      <c r="P15" s="15"/>
      <c r="Q15" s="15"/>
      <c r="R15" s="15">
        <f>F23</f>
        <v>8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6"/>
      <c r="AD15" s="26">
        <f>W17</f>
        <v>36</v>
      </c>
      <c r="AE15" s="3"/>
      <c r="AF15" s="3"/>
      <c r="AG15" s="3"/>
      <c r="AH15" s="3"/>
      <c r="AI15" s="4"/>
    </row>
    <row r="16" spans="1:36" x14ac:dyDescent="0.25">
      <c r="A16" s="2"/>
      <c r="B16" s="14"/>
      <c r="C16" s="15"/>
      <c r="D16" s="16"/>
      <c r="E16" s="14"/>
      <c r="F16" s="15"/>
      <c r="G16" s="15"/>
      <c r="H16" s="15"/>
      <c r="I16" s="15"/>
      <c r="J16" s="15"/>
      <c r="K16" s="15"/>
      <c r="L16" s="15"/>
      <c r="M16" s="15"/>
      <c r="N16" s="16"/>
      <c r="O16" s="14" t="s">
        <v>22</v>
      </c>
      <c r="P16" s="15"/>
      <c r="Q16" s="15"/>
      <c r="R16" s="15">
        <f>J14</f>
        <v>6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6"/>
      <c r="AD16" s="3"/>
      <c r="AE16" s="3"/>
      <c r="AF16" s="3"/>
      <c r="AG16" s="3"/>
      <c r="AH16" s="3"/>
      <c r="AI16" s="4"/>
    </row>
    <row r="17" spans="1:35" x14ac:dyDescent="0.25">
      <c r="A17" s="2"/>
      <c r="B17" s="14"/>
      <c r="C17" s="15"/>
      <c r="D17" s="16"/>
      <c r="E17" s="14"/>
      <c r="F17" s="15"/>
      <c r="G17" s="15"/>
      <c r="H17" s="15"/>
      <c r="I17" s="15"/>
      <c r="J17" s="15"/>
      <c r="K17" s="15"/>
      <c r="L17" s="15"/>
      <c r="M17" s="15"/>
      <c r="N17" s="16"/>
      <c r="O17" s="14" t="s">
        <v>17</v>
      </c>
      <c r="P17" s="15">
        <f>J14+2</f>
        <v>8</v>
      </c>
      <c r="Q17" s="22" t="s">
        <v>19</v>
      </c>
      <c r="R17" s="15">
        <f>F23+2</f>
        <v>10</v>
      </c>
      <c r="S17" s="22" t="s">
        <v>16</v>
      </c>
      <c r="T17" s="15">
        <v>2</v>
      </c>
      <c r="U17" s="15" t="s">
        <v>20</v>
      </c>
      <c r="V17" s="15" t="s">
        <v>17</v>
      </c>
      <c r="W17" s="15">
        <f>(P17+R17)*T17</f>
        <v>36</v>
      </c>
      <c r="X17" s="15"/>
      <c r="Y17" s="15"/>
      <c r="Z17" s="15"/>
      <c r="AA17" s="15"/>
      <c r="AB17" s="15"/>
      <c r="AC17" s="16"/>
      <c r="AD17" s="3"/>
      <c r="AE17" s="3"/>
      <c r="AF17" s="3"/>
      <c r="AG17" s="3"/>
      <c r="AH17" s="3"/>
      <c r="AI17" s="4"/>
    </row>
    <row r="18" spans="1:35" x14ac:dyDescent="0.25">
      <c r="A18" s="2">
        <v>3</v>
      </c>
      <c r="B18" s="14" t="s">
        <v>13</v>
      </c>
      <c r="C18" s="15"/>
      <c r="D18" s="16"/>
      <c r="E18" s="14"/>
      <c r="F18" s="15"/>
      <c r="G18" s="15"/>
      <c r="H18" s="15"/>
      <c r="I18" s="15"/>
      <c r="J18" s="15"/>
      <c r="K18" s="15"/>
      <c r="L18" s="15"/>
      <c r="M18" s="15"/>
      <c r="N18" s="16"/>
      <c r="O18" s="1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6"/>
      <c r="AD18" s="3"/>
      <c r="AE18" s="3"/>
      <c r="AF18" s="3"/>
      <c r="AG18" s="3"/>
      <c r="AH18" s="26">
        <v>1</v>
      </c>
      <c r="AI18" s="4" t="s">
        <v>7</v>
      </c>
    </row>
    <row r="19" spans="1:35" x14ac:dyDescent="0.25">
      <c r="A19" s="2">
        <v>4</v>
      </c>
      <c r="B19" s="14" t="s">
        <v>14</v>
      </c>
      <c r="C19" s="15"/>
      <c r="D19" s="16"/>
      <c r="E19" s="14"/>
      <c r="F19" s="15"/>
      <c r="G19" s="15"/>
      <c r="H19" s="15"/>
      <c r="I19" s="15"/>
      <c r="K19" s="15"/>
      <c r="L19" s="15"/>
      <c r="M19" s="15"/>
      <c r="N19" s="16"/>
      <c r="O19" s="1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6"/>
      <c r="AD19" s="3"/>
      <c r="AE19" s="3"/>
      <c r="AF19" s="3"/>
      <c r="AG19" s="3"/>
      <c r="AH19" s="26">
        <v>1</v>
      </c>
      <c r="AI19" s="4" t="s">
        <v>7</v>
      </c>
    </row>
    <row r="20" spans="1:35" x14ac:dyDescent="0.25">
      <c r="A20" s="2"/>
      <c r="B20" s="14"/>
      <c r="C20" s="15"/>
      <c r="D20" s="16"/>
      <c r="E20" s="14"/>
      <c r="G20" s="15"/>
      <c r="H20" s="15"/>
      <c r="I20" s="15"/>
      <c r="J20" s="15"/>
      <c r="K20" s="15"/>
      <c r="L20" s="15"/>
      <c r="M20" s="15"/>
      <c r="N20" s="16"/>
      <c r="O20" s="1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6"/>
      <c r="AD20" s="3"/>
      <c r="AE20" s="3"/>
      <c r="AF20" s="3"/>
      <c r="AG20" s="3"/>
      <c r="AH20" s="3"/>
      <c r="AI20" s="4"/>
    </row>
    <row r="21" spans="1:35" x14ac:dyDescent="0.25">
      <c r="A21" s="2"/>
      <c r="B21" s="14"/>
      <c r="C21" s="15"/>
      <c r="D21" s="16"/>
      <c r="E21" s="14"/>
      <c r="F21" s="15"/>
      <c r="G21" s="15"/>
      <c r="H21" s="15"/>
      <c r="I21" s="15"/>
      <c r="J21" s="15"/>
      <c r="K21" s="15"/>
      <c r="L21" s="15"/>
      <c r="M21" s="15"/>
      <c r="N21" s="16"/>
      <c r="O21" s="1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6"/>
      <c r="AD21" s="3"/>
      <c r="AE21" s="3"/>
      <c r="AF21" s="3"/>
      <c r="AG21" s="3"/>
      <c r="AH21" s="3"/>
      <c r="AI21" s="4"/>
    </row>
    <row r="22" spans="1:35" x14ac:dyDescent="0.25">
      <c r="A22" s="2"/>
      <c r="B22" s="14"/>
      <c r="C22" s="15"/>
      <c r="D22" s="16"/>
      <c r="E22" s="14"/>
      <c r="F22" s="15"/>
      <c r="G22" s="15"/>
      <c r="H22" s="15"/>
      <c r="I22" s="15"/>
      <c r="J22" s="15"/>
      <c r="K22" s="15"/>
      <c r="L22" s="15"/>
      <c r="M22" s="15"/>
      <c r="N22" s="16"/>
      <c r="O22" s="1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6"/>
      <c r="AD22" s="3"/>
      <c r="AE22" s="3"/>
      <c r="AF22" s="3"/>
      <c r="AG22" s="3"/>
      <c r="AH22" s="3"/>
      <c r="AI22" s="4"/>
    </row>
    <row r="23" spans="1:35" x14ac:dyDescent="0.25">
      <c r="A23" s="2"/>
      <c r="B23" s="14"/>
      <c r="C23" s="15"/>
      <c r="D23" s="16"/>
      <c r="E23" s="14"/>
      <c r="F23" s="24">
        <v>8</v>
      </c>
      <c r="G23" s="15"/>
      <c r="H23" s="15"/>
      <c r="I23" s="15"/>
      <c r="J23" s="15"/>
      <c r="K23" s="15"/>
      <c r="L23" s="15"/>
      <c r="M23" s="15"/>
      <c r="N23" s="34"/>
      <c r="O23" s="1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6"/>
      <c r="AD23" s="3"/>
      <c r="AE23" s="3"/>
      <c r="AF23" s="3"/>
      <c r="AG23" s="3"/>
      <c r="AH23" s="3"/>
      <c r="AI23" s="4"/>
    </row>
    <row r="24" spans="1:35" x14ac:dyDescent="0.25">
      <c r="A24" s="2"/>
      <c r="B24" s="14"/>
      <c r="C24" s="15"/>
      <c r="D24" s="16"/>
      <c r="E24" s="14"/>
      <c r="F24" s="15"/>
      <c r="G24" s="15"/>
      <c r="H24" s="15"/>
      <c r="I24" s="15"/>
      <c r="J24" s="15"/>
      <c r="K24" s="15"/>
      <c r="L24" s="15"/>
      <c r="M24" s="15"/>
      <c r="N24" s="16"/>
      <c r="O24" s="1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/>
      <c r="AD24" s="3"/>
      <c r="AE24" s="3"/>
      <c r="AF24" s="3"/>
      <c r="AG24" s="3"/>
      <c r="AH24" s="3"/>
      <c r="AI24" s="4"/>
    </row>
    <row r="25" spans="1:35" x14ac:dyDescent="0.25">
      <c r="A25" s="2"/>
      <c r="B25" s="14"/>
      <c r="C25" s="15"/>
      <c r="D25" s="16"/>
      <c r="E25" s="14"/>
      <c r="F25" s="15"/>
      <c r="G25" s="15"/>
      <c r="H25" s="15"/>
      <c r="I25" s="15"/>
      <c r="J25" s="15"/>
      <c r="K25" s="15"/>
      <c r="L25" s="15"/>
      <c r="M25" s="15"/>
      <c r="N25" s="16"/>
      <c r="O25" s="1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3"/>
      <c r="AE25" s="3"/>
      <c r="AF25" s="3"/>
      <c r="AG25" s="3"/>
      <c r="AH25" s="3"/>
      <c r="AI25" s="4"/>
    </row>
    <row r="26" spans="1:35" x14ac:dyDescent="0.25">
      <c r="A26" s="2"/>
      <c r="B26" s="14"/>
      <c r="C26" s="15"/>
      <c r="D26" s="16"/>
      <c r="E26" s="14"/>
      <c r="F26" s="15"/>
      <c r="G26" s="15"/>
      <c r="H26" s="15"/>
      <c r="I26" s="15"/>
      <c r="J26" s="15"/>
      <c r="K26" s="15"/>
      <c r="L26" s="15"/>
      <c r="M26" s="15"/>
      <c r="N26" s="16"/>
      <c r="O26" s="1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6"/>
      <c r="AD26" s="3"/>
      <c r="AE26" s="3"/>
      <c r="AF26" s="3"/>
      <c r="AG26" s="3"/>
      <c r="AH26" s="3"/>
      <c r="AI26" s="4"/>
    </row>
    <row r="27" spans="1:35" x14ac:dyDescent="0.25">
      <c r="A27" s="2"/>
      <c r="B27" s="14"/>
      <c r="C27" s="15"/>
      <c r="D27" s="16"/>
      <c r="E27" s="14"/>
      <c r="F27" s="15"/>
      <c r="G27" s="15"/>
      <c r="H27" s="15"/>
      <c r="I27" s="15"/>
      <c r="J27" s="15"/>
      <c r="K27" s="15"/>
      <c r="L27" s="15"/>
      <c r="M27" s="15"/>
      <c r="N27" s="16"/>
      <c r="O27" s="1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6"/>
      <c r="AD27" s="3"/>
      <c r="AE27" s="3"/>
      <c r="AF27" s="3"/>
      <c r="AG27" s="3"/>
      <c r="AH27" s="3"/>
      <c r="AI27" s="4"/>
    </row>
    <row r="28" spans="1:35" x14ac:dyDescent="0.25">
      <c r="A28" s="2"/>
      <c r="B28" s="14"/>
      <c r="C28" s="15"/>
      <c r="D28" s="16"/>
      <c r="E28" s="14"/>
      <c r="F28" s="15"/>
      <c r="G28" s="15"/>
      <c r="H28" s="15"/>
      <c r="I28" s="15"/>
      <c r="J28" s="15"/>
      <c r="K28" s="15"/>
      <c r="L28" s="15"/>
      <c r="M28" s="15"/>
      <c r="N28" s="16"/>
      <c r="O28" s="1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6"/>
      <c r="AD28" s="3"/>
      <c r="AE28" s="3"/>
      <c r="AF28" s="3"/>
      <c r="AG28" s="3"/>
      <c r="AH28" s="3"/>
      <c r="AI28" s="4"/>
    </row>
    <row r="29" spans="1:35" x14ac:dyDescent="0.25">
      <c r="A29" s="2"/>
      <c r="B29" s="14"/>
      <c r="C29" s="15"/>
      <c r="D29" s="16"/>
      <c r="E29" s="14"/>
      <c r="G29" s="15"/>
      <c r="H29" s="15"/>
      <c r="I29" s="15"/>
      <c r="J29" s="15"/>
      <c r="K29" s="15"/>
      <c r="L29" s="15"/>
      <c r="M29" s="15"/>
      <c r="N29" s="16"/>
      <c r="O29" s="1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6"/>
      <c r="AD29" s="3"/>
      <c r="AE29" s="3"/>
      <c r="AF29" s="3"/>
      <c r="AG29" s="3"/>
      <c r="AH29" s="3"/>
      <c r="AI29" s="4"/>
    </row>
    <row r="30" spans="1:35" x14ac:dyDescent="0.25">
      <c r="A30" s="2"/>
      <c r="B30" s="14"/>
      <c r="C30" s="15"/>
      <c r="D30" s="16"/>
      <c r="E30" s="14"/>
      <c r="F30" s="15"/>
      <c r="G30" s="15"/>
      <c r="H30" s="15"/>
      <c r="I30" s="15"/>
      <c r="J30" s="15"/>
      <c r="K30" s="15"/>
      <c r="L30" s="15"/>
      <c r="M30" s="15"/>
      <c r="N30" s="16"/>
      <c r="O30" s="1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6"/>
      <c r="AD30" s="3"/>
      <c r="AE30" s="3"/>
      <c r="AF30" s="3"/>
      <c r="AG30" s="3"/>
      <c r="AH30" s="3"/>
      <c r="AI30" s="4"/>
    </row>
    <row r="31" spans="1:35" x14ac:dyDescent="0.25">
      <c r="A31" s="2"/>
      <c r="B31" s="14"/>
      <c r="C31" s="15"/>
      <c r="D31" s="16"/>
      <c r="E31" s="14"/>
      <c r="F31" s="15"/>
      <c r="G31" s="15"/>
      <c r="H31" s="15"/>
      <c r="I31" s="25">
        <v>3</v>
      </c>
      <c r="J31" s="15"/>
      <c r="K31" s="15"/>
      <c r="L31" s="25">
        <v>3</v>
      </c>
      <c r="M31" s="15"/>
      <c r="N31" s="16"/>
      <c r="O31" s="1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6"/>
      <c r="AD31" s="3"/>
      <c r="AE31" s="3"/>
      <c r="AF31" s="3"/>
      <c r="AG31" s="3"/>
      <c r="AH31" s="3"/>
      <c r="AI31" s="4"/>
    </row>
    <row r="32" spans="1:35" ht="15.75" thickBot="1" x14ac:dyDescent="0.3">
      <c r="A32" s="5"/>
      <c r="B32" s="17"/>
      <c r="C32" s="18"/>
      <c r="D32" s="19"/>
      <c r="E32" s="17"/>
      <c r="F32" s="18"/>
      <c r="G32" s="18"/>
      <c r="H32" s="18"/>
      <c r="I32" s="18"/>
      <c r="J32" s="18"/>
      <c r="K32" s="18"/>
      <c r="L32" s="18"/>
      <c r="M32" s="18"/>
      <c r="N32" s="19"/>
      <c r="O32" s="17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9"/>
      <c r="AD32" s="6"/>
      <c r="AE32" s="6"/>
      <c r="AF32" s="6"/>
      <c r="AG32" s="6"/>
      <c r="AH32" s="6"/>
      <c r="AI32" s="7"/>
    </row>
    <row r="33" spans="1:35" ht="15.75" thickTop="1" x14ac:dyDescent="0.25">
      <c r="A33" s="8"/>
      <c r="B33" s="80"/>
      <c r="C33" s="50"/>
      <c r="D33" s="81"/>
      <c r="E33" s="80"/>
      <c r="F33" s="50"/>
      <c r="G33" s="50"/>
      <c r="H33" s="50"/>
      <c r="I33" s="50"/>
      <c r="J33" s="50"/>
      <c r="K33" s="50"/>
      <c r="L33" s="50"/>
      <c r="M33" s="50"/>
      <c r="N33" s="81"/>
      <c r="O33" s="8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81"/>
      <c r="AD33" s="9"/>
      <c r="AE33" s="9"/>
      <c r="AF33" s="9"/>
      <c r="AG33" s="9"/>
      <c r="AH33" s="9"/>
      <c r="AI33" s="10"/>
    </row>
    <row r="34" spans="1:35" x14ac:dyDescent="0.25">
      <c r="A34" s="20" t="s">
        <v>23</v>
      </c>
      <c r="B34" s="21" t="s">
        <v>24</v>
      </c>
      <c r="C34" s="15"/>
      <c r="D34" s="16"/>
      <c r="E34" s="14"/>
      <c r="F34" s="15"/>
      <c r="G34" s="15"/>
      <c r="H34" s="15"/>
      <c r="I34" s="15"/>
      <c r="J34" s="15"/>
      <c r="K34" s="15"/>
      <c r="L34" s="15"/>
      <c r="M34" s="15"/>
      <c r="N34" s="16"/>
      <c r="O34" s="14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6"/>
      <c r="AD34" s="3"/>
      <c r="AE34" s="3"/>
      <c r="AF34" s="3"/>
      <c r="AG34" s="3"/>
      <c r="AH34" s="3"/>
      <c r="AI34" s="4"/>
    </row>
    <row r="35" spans="1:35" x14ac:dyDescent="0.25">
      <c r="A35" s="2">
        <v>1</v>
      </c>
      <c r="B35" s="14" t="s">
        <v>25</v>
      </c>
      <c r="C35" s="15"/>
      <c r="D35" s="16"/>
      <c r="E35" s="14"/>
      <c r="F35" s="15"/>
      <c r="G35" s="15"/>
      <c r="H35" s="25">
        <v>1.2</v>
      </c>
      <c r="I35" s="15"/>
      <c r="J35" s="15"/>
      <c r="K35" s="15"/>
      <c r="L35" s="15"/>
      <c r="M35" s="15"/>
      <c r="N35" s="16"/>
      <c r="O35" s="14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6"/>
      <c r="AD35" s="3"/>
      <c r="AE35" s="3"/>
      <c r="AF35" s="36">
        <f>T48+T60</f>
        <v>30.712500000000006</v>
      </c>
      <c r="AG35" s="3"/>
      <c r="AH35" s="3"/>
      <c r="AI35" s="4"/>
    </row>
    <row r="36" spans="1:35" x14ac:dyDescent="0.25">
      <c r="A36" s="2"/>
      <c r="B36" s="14" t="s">
        <v>64</v>
      </c>
      <c r="C36" s="15"/>
      <c r="D36" s="16"/>
      <c r="E36" s="14"/>
      <c r="F36" s="15"/>
      <c r="G36" s="15"/>
      <c r="H36" s="15"/>
      <c r="I36" s="15"/>
      <c r="J36" s="15"/>
      <c r="K36" s="15"/>
      <c r="L36" s="15"/>
      <c r="M36" s="15"/>
      <c r="N36" s="16"/>
      <c r="O36" s="21" t="s">
        <v>60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6"/>
      <c r="AD36" s="3"/>
      <c r="AE36" s="3"/>
      <c r="AF36" s="3"/>
      <c r="AG36" s="3"/>
      <c r="AH36" s="3"/>
      <c r="AI36" s="4"/>
    </row>
    <row r="37" spans="1:35" x14ac:dyDescent="0.25">
      <c r="A37" s="2"/>
      <c r="B37" s="14"/>
      <c r="C37" s="15"/>
      <c r="D37" s="16"/>
      <c r="E37" s="14"/>
      <c r="F37" s="15"/>
      <c r="G37" s="15"/>
      <c r="H37" s="15"/>
      <c r="I37" s="15"/>
      <c r="J37" s="15"/>
      <c r="K37" s="15"/>
      <c r="L37" s="15"/>
      <c r="M37" s="15"/>
      <c r="N37" s="16"/>
      <c r="O37" s="14" t="s">
        <v>37</v>
      </c>
      <c r="P37" s="15"/>
      <c r="Q37" s="15"/>
      <c r="R37" s="15"/>
      <c r="S37" s="15"/>
      <c r="T37" s="15">
        <f>H44</f>
        <v>0.9</v>
      </c>
      <c r="U37" s="15"/>
      <c r="V37" s="15"/>
      <c r="W37" s="15"/>
      <c r="X37" s="15"/>
      <c r="Y37" s="15"/>
      <c r="Z37" s="15"/>
      <c r="AA37" s="15"/>
      <c r="AB37" s="15"/>
      <c r="AC37" s="16"/>
      <c r="AD37" s="3"/>
      <c r="AE37" s="3"/>
      <c r="AF37" s="3"/>
      <c r="AG37" s="3"/>
      <c r="AH37" s="3"/>
      <c r="AI37" s="4"/>
    </row>
    <row r="38" spans="1:35" x14ac:dyDescent="0.25">
      <c r="A38" s="2"/>
      <c r="B38" s="14"/>
      <c r="C38" s="15"/>
      <c r="D38" s="16"/>
      <c r="E38" s="14"/>
      <c r="F38" s="15"/>
      <c r="G38" s="15"/>
      <c r="H38" s="15"/>
      <c r="I38" s="15"/>
      <c r="J38" s="15"/>
      <c r="K38" s="15"/>
      <c r="L38" s="15"/>
      <c r="M38" s="15"/>
      <c r="N38" s="16"/>
      <c r="O38" s="14" t="s">
        <v>38</v>
      </c>
      <c r="P38" s="15"/>
      <c r="Q38" s="15"/>
      <c r="R38" s="15"/>
      <c r="S38" s="15"/>
      <c r="T38" s="15">
        <f>H35</f>
        <v>1.2</v>
      </c>
      <c r="U38" s="15"/>
      <c r="V38" s="15"/>
      <c r="W38" s="15"/>
      <c r="X38" s="15"/>
      <c r="Y38" s="15"/>
      <c r="Z38" s="15"/>
      <c r="AA38" s="15"/>
      <c r="AB38" s="15"/>
      <c r="AC38" s="16"/>
      <c r="AD38" s="3"/>
      <c r="AE38" s="3"/>
      <c r="AF38" s="3"/>
      <c r="AG38" s="3"/>
      <c r="AH38" s="3"/>
      <c r="AI38" s="4"/>
    </row>
    <row r="39" spans="1:35" x14ac:dyDescent="0.25">
      <c r="A39" s="2"/>
      <c r="B39" s="14"/>
      <c r="C39" s="15"/>
      <c r="D39" s="16"/>
      <c r="E39" s="14"/>
      <c r="F39" s="15"/>
      <c r="G39" s="15"/>
      <c r="H39" s="15"/>
      <c r="I39" s="15"/>
      <c r="J39" s="15"/>
      <c r="K39" s="25">
        <v>0.65</v>
      </c>
      <c r="L39" s="15"/>
      <c r="M39" s="15"/>
      <c r="N39" s="16"/>
      <c r="O39" s="14" t="s">
        <v>36</v>
      </c>
      <c r="P39" s="15"/>
      <c r="Q39" s="15"/>
      <c r="R39" s="15"/>
      <c r="S39" s="15"/>
      <c r="T39" s="15">
        <f>K39</f>
        <v>0.65</v>
      </c>
      <c r="U39" s="15"/>
      <c r="V39" s="15"/>
      <c r="W39" s="15"/>
      <c r="X39" s="15"/>
      <c r="Y39" s="15"/>
      <c r="Z39" s="15"/>
      <c r="AA39" s="15"/>
      <c r="AB39" s="15"/>
      <c r="AC39" s="16"/>
      <c r="AD39" s="3"/>
      <c r="AE39" s="3"/>
      <c r="AF39" s="3"/>
      <c r="AG39" s="3"/>
      <c r="AH39" s="3"/>
      <c r="AI39" s="4"/>
    </row>
    <row r="40" spans="1:35" x14ac:dyDescent="0.25">
      <c r="A40" s="2"/>
      <c r="B40" s="14"/>
      <c r="C40" s="15"/>
      <c r="D40" s="16"/>
      <c r="E40" s="14"/>
      <c r="F40" s="15"/>
      <c r="G40" s="15"/>
      <c r="H40" s="15"/>
      <c r="I40" s="15"/>
      <c r="J40" s="15"/>
      <c r="L40" s="15"/>
      <c r="M40" s="15"/>
      <c r="N40" s="16"/>
      <c r="O40" s="1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6"/>
      <c r="AD40" s="3"/>
      <c r="AE40" s="3"/>
      <c r="AF40" s="3"/>
      <c r="AG40" s="3"/>
      <c r="AH40" s="3"/>
      <c r="AI40" s="4"/>
    </row>
    <row r="41" spans="1:35" x14ac:dyDescent="0.25">
      <c r="A41" s="2"/>
      <c r="B41" s="14"/>
      <c r="C41" s="15"/>
      <c r="D41" s="16"/>
      <c r="E41" s="14"/>
      <c r="F41" s="15"/>
      <c r="G41" s="15"/>
      <c r="H41" s="15"/>
      <c r="I41" s="15"/>
      <c r="J41" s="15"/>
      <c r="K41" s="15"/>
      <c r="L41" s="15"/>
      <c r="M41" s="15"/>
      <c r="N41" s="16"/>
      <c r="O41" s="14" t="s">
        <v>32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6"/>
      <c r="AD41" s="3"/>
      <c r="AE41" s="3"/>
      <c r="AF41" s="3"/>
      <c r="AG41" s="3"/>
      <c r="AH41" s="3"/>
      <c r="AI41" s="4"/>
    </row>
    <row r="42" spans="1:35" x14ac:dyDescent="0.25">
      <c r="A42" s="2"/>
      <c r="B42" s="14"/>
      <c r="C42" s="15"/>
      <c r="D42" s="16"/>
      <c r="E42" s="14"/>
      <c r="F42" s="15"/>
      <c r="G42" s="15"/>
      <c r="H42" s="15"/>
      <c r="I42" s="15"/>
      <c r="J42" s="15"/>
      <c r="K42" s="15"/>
      <c r="L42" s="15"/>
      <c r="M42" s="15"/>
      <c r="N42" s="16"/>
      <c r="O42" s="14" t="s">
        <v>17</v>
      </c>
      <c r="P42" s="51">
        <f>H35</f>
        <v>1.2</v>
      </c>
      <c r="Q42" s="52" t="s">
        <v>19</v>
      </c>
      <c r="R42" s="51">
        <f>H44</f>
        <v>0.9</v>
      </c>
      <c r="S42" s="22" t="s">
        <v>16</v>
      </c>
      <c r="T42" s="15">
        <f>K39</f>
        <v>0.65</v>
      </c>
      <c r="U42" s="15" t="s">
        <v>17</v>
      </c>
      <c r="V42" s="15">
        <f>((P42+R42)*T42)/Q43</f>
        <v>0.68250000000000011</v>
      </c>
      <c r="W42" s="15"/>
      <c r="X42" s="15"/>
      <c r="Y42" s="15"/>
      <c r="Z42" s="15"/>
      <c r="AA42" s="15"/>
      <c r="AB42" s="15"/>
      <c r="AC42" s="16"/>
      <c r="AD42" s="3"/>
      <c r="AE42" s="3"/>
      <c r="AF42" s="3"/>
      <c r="AG42" s="3"/>
      <c r="AH42" s="3"/>
      <c r="AI42" s="4"/>
    </row>
    <row r="43" spans="1:35" x14ac:dyDescent="0.25">
      <c r="A43" s="2"/>
      <c r="B43" s="14"/>
      <c r="C43" s="15"/>
      <c r="D43" s="16"/>
      <c r="E43" s="14"/>
      <c r="F43" s="15"/>
      <c r="G43" s="15"/>
      <c r="H43" s="15"/>
      <c r="I43" s="15"/>
      <c r="J43" s="15"/>
      <c r="K43" s="15"/>
      <c r="L43" s="15"/>
      <c r="M43" s="15"/>
      <c r="N43" s="16"/>
      <c r="O43" s="14"/>
      <c r="P43" s="50"/>
      <c r="Q43" s="50">
        <f>2</f>
        <v>2</v>
      </c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6"/>
      <c r="AD43" s="3"/>
      <c r="AE43" s="3"/>
      <c r="AF43" s="3"/>
      <c r="AG43" s="3"/>
      <c r="AH43" s="3"/>
      <c r="AI43" s="4"/>
    </row>
    <row r="44" spans="1:35" x14ac:dyDescent="0.25">
      <c r="A44" s="2"/>
      <c r="B44" s="14"/>
      <c r="C44" s="15"/>
      <c r="D44" s="16"/>
      <c r="E44" s="14"/>
      <c r="F44" s="15"/>
      <c r="G44" s="15"/>
      <c r="H44" s="25">
        <v>0.9</v>
      </c>
      <c r="I44" s="15"/>
      <c r="J44" s="15"/>
      <c r="K44" s="15"/>
      <c r="L44" s="15"/>
      <c r="M44" s="15"/>
      <c r="N44" s="16"/>
      <c r="O44" s="14" t="s">
        <v>26</v>
      </c>
      <c r="P44" s="15"/>
      <c r="Q44" s="15"/>
      <c r="R44" s="15"/>
      <c r="S44" s="15"/>
      <c r="T44" s="22">
        <f>F23</f>
        <v>8</v>
      </c>
      <c r="U44" s="22" t="s">
        <v>19</v>
      </c>
      <c r="V44" s="22">
        <f>F23</f>
        <v>8</v>
      </c>
      <c r="W44" s="22" t="s">
        <v>19</v>
      </c>
      <c r="X44" s="22">
        <f>J14</f>
        <v>6</v>
      </c>
      <c r="Y44" s="15"/>
      <c r="Z44" s="15"/>
      <c r="AA44" s="15"/>
      <c r="AB44" s="15"/>
      <c r="AC44" s="16"/>
      <c r="AD44" s="3"/>
      <c r="AE44" s="3"/>
      <c r="AF44" s="3"/>
      <c r="AG44" s="3"/>
      <c r="AH44" s="3"/>
      <c r="AI44" s="4"/>
    </row>
    <row r="45" spans="1:35" x14ac:dyDescent="0.25">
      <c r="A45" s="2"/>
      <c r="B45" s="14"/>
      <c r="C45" s="15"/>
      <c r="D45" s="16"/>
      <c r="E45" s="14"/>
      <c r="F45" s="15"/>
      <c r="G45" s="15"/>
      <c r="I45" s="15"/>
      <c r="J45" s="15"/>
      <c r="K45" s="15"/>
      <c r="L45" s="15"/>
      <c r="M45" s="15"/>
      <c r="N45" s="16"/>
      <c r="O45" s="14"/>
      <c r="P45" s="15"/>
      <c r="Q45" s="15"/>
      <c r="R45" s="15"/>
      <c r="S45" s="15" t="s">
        <v>17</v>
      </c>
      <c r="T45" s="15">
        <f>T44+V44+X44</f>
        <v>22</v>
      </c>
      <c r="U45" s="15"/>
      <c r="V45" s="15"/>
      <c r="W45" s="15"/>
      <c r="X45" s="15"/>
      <c r="Y45" s="15"/>
      <c r="Z45" s="15"/>
      <c r="AA45" s="15"/>
      <c r="AB45" s="15"/>
      <c r="AC45" s="16"/>
      <c r="AD45" s="3"/>
      <c r="AE45" s="3"/>
      <c r="AF45" s="3"/>
      <c r="AG45" s="3"/>
      <c r="AH45" s="3"/>
      <c r="AI45" s="4"/>
    </row>
    <row r="46" spans="1:35" x14ac:dyDescent="0.25">
      <c r="A46" s="2"/>
      <c r="B46" s="14"/>
      <c r="C46" s="15"/>
      <c r="D46" s="16"/>
      <c r="E46" s="14"/>
      <c r="F46" s="15"/>
      <c r="G46" s="15"/>
      <c r="H46" s="15"/>
      <c r="I46" s="15"/>
      <c r="J46" s="15"/>
      <c r="K46" s="15"/>
      <c r="L46" s="15"/>
      <c r="M46" s="15"/>
      <c r="N46" s="16"/>
      <c r="O46" s="14" t="s">
        <v>27</v>
      </c>
      <c r="P46" s="15"/>
      <c r="Q46" s="15"/>
      <c r="R46" s="15"/>
      <c r="S46" s="15"/>
      <c r="T46" s="15" t="s">
        <v>28</v>
      </c>
      <c r="U46" s="15"/>
      <c r="V46" s="15"/>
      <c r="W46" s="15"/>
      <c r="X46" s="15"/>
      <c r="Y46" s="15"/>
      <c r="Z46" s="15"/>
      <c r="AA46" s="15"/>
      <c r="AB46" s="15"/>
      <c r="AC46" s="16"/>
      <c r="AD46" s="3"/>
      <c r="AE46" s="3"/>
      <c r="AF46" s="3"/>
      <c r="AG46" s="3"/>
      <c r="AH46" s="3"/>
      <c r="AI46" s="4"/>
    </row>
    <row r="47" spans="1:35" x14ac:dyDescent="0.25">
      <c r="A47" s="2"/>
      <c r="B47" s="14"/>
      <c r="C47" s="15"/>
      <c r="D47" s="16"/>
      <c r="E47" s="14"/>
      <c r="F47" s="15"/>
      <c r="G47" s="15"/>
      <c r="H47" s="15"/>
      <c r="I47" s="15"/>
      <c r="J47" s="15"/>
      <c r="K47" s="15"/>
      <c r="L47" s="15"/>
      <c r="M47" s="15"/>
      <c r="N47" s="16"/>
      <c r="O47" s="14"/>
      <c r="P47" s="15"/>
      <c r="Q47" s="15"/>
      <c r="R47" s="15"/>
      <c r="S47" s="15" t="s">
        <v>29</v>
      </c>
      <c r="T47" s="15">
        <f>V42</f>
        <v>0.68250000000000011</v>
      </c>
      <c r="U47" s="22" t="s">
        <v>16</v>
      </c>
      <c r="V47" s="15">
        <f>T45</f>
        <v>22</v>
      </c>
      <c r="W47" s="15"/>
      <c r="X47" s="15"/>
      <c r="Y47" s="15"/>
      <c r="Z47" s="15"/>
      <c r="AA47" s="15"/>
      <c r="AB47" s="15"/>
      <c r="AC47" s="16"/>
      <c r="AD47" s="3"/>
      <c r="AE47" s="3"/>
      <c r="AF47" s="3"/>
      <c r="AG47" s="3"/>
      <c r="AH47" s="3"/>
      <c r="AI47" s="4"/>
    </row>
    <row r="48" spans="1:35" x14ac:dyDescent="0.25">
      <c r="A48" s="2"/>
      <c r="B48" s="14"/>
      <c r="C48" s="15"/>
      <c r="D48" s="16"/>
      <c r="E48" s="14"/>
      <c r="F48" s="15"/>
      <c r="G48" s="15"/>
      <c r="H48" s="15"/>
      <c r="I48" s="15"/>
      <c r="J48" s="15"/>
      <c r="K48" s="15"/>
      <c r="L48" s="15"/>
      <c r="M48" s="15"/>
      <c r="N48" s="16"/>
      <c r="O48" s="14"/>
      <c r="P48" s="15"/>
      <c r="Q48" s="15"/>
      <c r="R48" s="15"/>
      <c r="S48" s="15" t="s">
        <v>29</v>
      </c>
      <c r="T48" s="35">
        <f>T47*V47</f>
        <v>15.015000000000002</v>
      </c>
      <c r="U48" s="15"/>
      <c r="V48" s="15"/>
      <c r="W48" s="15"/>
      <c r="X48" s="15"/>
      <c r="Y48" s="15"/>
      <c r="Z48" s="15"/>
      <c r="AA48" s="15"/>
      <c r="AB48" s="15"/>
      <c r="AC48" s="16"/>
      <c r="AD48" s="3"/>
      <c r="AE48" s="3"/>
      <c r="AF48" s="3"/>
      <c r="AG48" s="3"/>
      <c r="AH48" s="3"/>
      <c r="AI48" s="4"/>
    </row>
    <row r="49" spans="1:38" x14ac:dyDescent="0.25">
      <c r="A49" s="2"/>
      <c r="B49" s="14"/>
      <c r="C49" s="15"/>
      <c r="D49" s="16"/>
      <c r="E49" s="14"/>
      <c r="F49" s="15"/>
      <c r="G49" s="15"/>
      <c r="H49" s="15"/>
      <c r="I49" s="15"/>
      <c r="J49" s="15"/>
      <c r="K49" s="15"/>
      <c r="L49" s="15"/>
      <c r="M49" s="15"/>
      <c r="N49" s="16"/>
      <c r="O49" s="14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6"/>
      <c r="AD49" s="3"/>
      <c r="AE49" s="3"/>
      <c r="AF49" s="3"/>
      <c r="AG49" s="3"/>
      <c r="AH49" s="3"/>
      <c r="AI49" s="4"/>
    </row>
    <row r="50" spans="1:38" x14ac:dyDescent="0.25">
      <c r="A50" s="2"/>
      <c r="B50" s="14"/>
      <c r="C50" s="15"/>
      <c r="D50" s="16"/>
      <c r="E50" s="14"/>
      <c r="F50" s="15"/>
      <c r="G50" s="15"/>
      <c r="H50" s="25">
        <v>1.2</v>
      </c>
      <c r="I50" s="15"/>
      <c r="J50" s="15"/>
      <c r="K50" s="15"/>
      <c r="L50" s="15"/>
      <c r="M50" s="15"/>
      <c r="N50" s="16"/>
      <c r="O50" s="14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6"/>
      <c r="AD50" s="3"/>
      <c r="AE50" s="3"/>
      <c r="AF50" s="3"/>
      <c r="AG50" s="3"/>
      <c r="AH50" s="3"/>
      <c r="AI50" s="4"/>
      <c r="AJ50" s="86"/>
      <c r="AK50" s="86"/>
      <c r="AL50" s="86"/>
    </row>
    <row r="51" spans="1:38" x14ac:dyDescent="0.25">
      <c r="A51" s="2"/>
      <c r="B51" s="14"/>
      <c r="C51" s="15"/>
      <c r="D51" s="16"/>
      <c r="E51" s="14"/>
      <c r="F51" s="15"/>
      <c r="G51" s="15"/>
      <c r="H51" s="15"/>
      <c r="I51" s="15"/>
      <c r="J51" s="15"/>
      <c r="K51" s="15"/>
      <c r="L51" s="15"/>
      <c r="M51" s="15"/>
      <c r="N51" s="16"/>
      <c r="O51" s="14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6"/>
      <c r="AD51" s="3"/>
      <c r="AE51" s="3"/>
      <c r="AF51" s="3"/>
      <c r="AG51" s="3"/>
      <c r="AH51" s="3"/>
      <c r="AI51" s="4"/>
      <c r="AJ51" s="86"/>
      <c r="AK51" s="86"/>
      <c r="AL51" s="86"/>
    </row>
    <row r="52" spans="1:38" x14ac:dyDescent="0.25">
      <c r="A52" s="2"/>
      <c r="B52" s="14" t="s">
        <v>65</v>
      </c>
      <c r="C52" s="15"/>
      <c r="D52" s="16"/>
      <c r="E52" s="14"/>
      <c r="F52" s="15"/>
      <c r="G52" s="15"/>
      <c r="H52" s="15"/>
      <c r="I52" s="15"/>
      <c r="J52" s="15"/>
      <c r="K52" s="15"/>
      <c r="L52" s="15"/>
      <c r="M52" s="15"/>
      <c r="N52" s="16"/>
      <c r="O52" s="21" t="s">
        <v>61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6"/>
      <c r="AD52" s="3"/>
      <c r="AE52" s="3"/>
      <c r="AF52" s="3"/>
      <c r="AG52" s="3"/>
      <c r="AH52" s="3"/>
      <c r="AI52" s="4"/>
      <c r="AJ52" s="86"/>
      <c r="AK52" s="86"/>
      <c r="AL52" s="86"/>
    </row>
    <row r="53" spans="1:38" x14ac:dyDescent="0.25">
      <c r="A53" s="2"/>
      <c r="B53" s="14"/>
      <c r="C53" s="15"/>
      <c r="D53" s="16"/>
      <c r="E53" s="14"/>
      <c r="F53" s="15"/>
      <c r="G53" s="15"/>
      <c r="H53" s="15"/>
      <c r="I53" s="15"/>
      <c r="J53" s="15"/>
      <c r="K53" s="15"/>
      <c r="L53" s="15"/>
      <c r="M53" s="15"/>
      <c r="N53" s="16"/>
      <c r="O53" s="14" t="s">
        <v>32</v>
      </c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6"/>
      <c r="AD53" s="3"/>
      <c r="AE53" s="3"/>
      <c r="AF53" s="3"/>
      <c r="AG53" s="3"/>
      <c r="AH53" s="3"/>
      <c r="AI53" s="4"/>
      <c r="AJ53" s="86"/>
      <c r="AK53" s="86"/>
      <c r="AL53" s="86"/>
    </row>
    <row r="54" spans="1:38" x14ac:dyDescent="0.25">
      <c r="A54" s="2"/>
      <c r="B54" s="14"/>
      <c r="C54" s="15"/>
      <c r="D54" s="16"/>
      <c r="E54" s="14"/>
      <c r="F54" s="15"/>
      <c r="G54" s="15"/>
      <c r="H54" s="15"/>
      <c r="I54" s="15"/>
      <c r="J54" s="15"/>
      <c r="K54" s="15"/>
      <c r="L54" s="15"/>
      <c r="M54" s="15"/>
      <c r="N54" s="16"/>
      <c r="O54" s="14" t="s">
        <v>17</v>
      </c>
      <c r="P54" s="51">
        <f>H50</f>
        <v>1.2</v>
      </c>
      <c r="Q54" s="52" t="s">
        <v>19</v>
      </c>
      <c r="R54" s="51">
        <f>H59</f>
        <v>0.9</v>
      </c>
      <c r="S54" s="22" t="s">
        <v>16</v>
      </c>
      <c r="T54" s="15">
        <f>K55</f>
        <v>0.65</v>
      </c>
      <c r="U54" s="15" t="s">
        <v>17</v>
      </c>
      <c r="V54" s="15">
        <f>((P54+R54)*T54)/Q55</f>
        <v>0.68250000000000011</v>
      </c>
      <c r="W54" s="15"/>
      <c r="X54" s="15"/>
      <c r="Y54" s="15"/>
      <c r="Z54" s="15"/>
      <c r="AA54" s="15"/>
      <c r="AB54" s="15"/>
      <c r="AC54" s="16"/>
      <c r="AD54" s="3"/>
      <c r="AE54" s="3"/>
      <c r="AF54" s="3"/>
      <c r="AG54" s="3"/>
      <c r="AH54" s="3"/>
      <c r="AI54" s="4"/>
      <c r="AJ54" s="86"/>
      <c r="AK54" s="86"/>
      <c r="AL54" s="86"/>
    </row>
    <row r="55" spans="1:38" x14ac:dyDescent="0.25">
      <c r="A55" s="2"/>
      <c r="B55" s="14"/>
      <c r="C55" s="15"/>
      <c r="D55" s="16"/>
      <c r="E55" s="14"/>
      <c r="F55" s="15"/>
      <c r="G55" s="15"/>
      <c r="H55" s="15"/>
      <c r="I55" s="15"/>
      <c r="J55" s="15"/>
      <c r="K55" s="25">
        <v>0.65</v>
      </c>
      <c r="L55" s="15"/>
      <c r="M55" s="15"/>
      <c r="N55" s="16"/>
      <c r="O55" s="14"/>
      <c r="P55" s="50"/>
      <c r="Q55" s="50">
        <f>2</f>
        <v>2</v>
      </c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6"/>
      <c r="AD55" s="3"/>
      <c r="AE55" s="3"/>
      <c r="AF55" s="3"/>
      <c r="AG55" s="3"/>
      <c r="AH55" s="3"/>
      <c r="AI55" s="4"/>
    </row>
    <row r="56" spans="1:38" x14ac:dyDescent="0.25">
      <c r="A56" s="2"/>
      <c r="B56" s="14"/>
      <c r="C56" s="15"/>
      <c r="D56" s="16"/>
      <c r="E56" s="14"/>
      <c r="F56" s="15"/>
      <c r="G56" s="15"/>
      <c r="H56" s="15"/>
      <c r="I56" s="15"/>
      <c r="J56" s="15"/>
      <c r="L56" s="15"/>
      <c r="M56" s="15"/>
      <c r="N56" s="16"/>
      <c r="O56" s="14" t="s">
        <v>30</v>
      </c>
      <c r="P56" s="15"/>
      <c r="Q56" s="15"/>
      <c r="R56" s="15"/>
      <c r="S56" s="15"/>
      <c r="T56" s="22">
        <f>F23</f>
        <v>8</v>
      </c>
      <c r="U56" s="22" t="s">
        <v>19</v>
      </c>
      <c r="V56" s="22">
        <f>J14</f>
        <v>6</v>
      </c>
      <c r="W56" s="22" t="s">
        <v>19</v>
      </c>
      <c r="X56" s="22">
        <f>J14</f>
        <v>6</v>
      </c>
      <c r="Y56" s="22" t="s">
        <v>19</v>
      </c>
      <c r="Z56" s="15">
        <v>3</v>
      </c>
      <c r="AA56" s="22"/>
      <c r="AB56" s="15"/>
      <c r="AC56" s="16"/>
      <c r="AD56" s="3"/>
      <c r="AE56" s="3"/>
      <c r="AF56" s="3"/>
      <c r="AG56" s="3"/>
      <c r="AH56" s="3"/>
      <c r="AI56" s="4"/>
    </row>
    <row r="57" spans="1:38" x14ac:dyDescent="0.25">
      <c r="A57" s="2"/>
      <c r="B57" s="14"/>
      <c r="C57" s="15"/>
      <c r="D57" s="16"/>
      <c r="E57" s="14"/>
      <c r="F57" s="15"/>
      <c r="G57" s="15"/>
      <c r="H57" s="15"/>
      <c r="I57" s="15"/>
      <c r="J57" s="15"/>
      <c r="K57" s="15"/>
      <c r="L57" s="15"/>
      <c r="M57" s="15"/>
      <c r="N57" s="16"/>
      <c r="O57" s="14"/>
      <c r="P57" s="15"/>
      <c r="Q57" s="15"/>
      <c r="R57" s="15"/>
      <c r="S57" s="15" t="s">
        <v>17</v>
      </c>
      <c r="T57" s="15">
        <f>T56+V56+X56+Z56</f>
        <v>23</v>
      </c>
      <c r="U57" s="15"/>
      <c r="V57" s="15"/>
      <c r="W57" s="15"/>
      <c r="X57" s="15"/>
      <c r="Y57" s="15"/>
      <c r="Z57" s="15"/>
      <c r="AA57" s="15"/>
      <c r="AB57" s="15"/>
      <c r="AC57" s="16"/>
      <c r="AD57" s="3"/>
      <c r="AE57" s="3"/>
      <c r="AF57" s="3"/>
      <c r="AG57" s="3"/>
      <c r="AH57" s="3"/>
      <c r="AI57" s="4"/>
    </row>
    <row r="58" spans="1:38" x14ac:dyDescent="0.25">
      <c r="A58" s="2"/>
      <c r="B58" s="14"/>
      <c r="C58" s="15"/>
      <c r="D58" s="16"/>
      <c r="E58" s="14"/>
      <c r="F58" s="15"/>
      <c r="G58" s="15"/>
      <c r="H58" s="15"/>
      <c r="I58" s="15"/>
      <c r="J58" s="15"/>
      <c r="K58" s="15"/>
      <c r="L58" s="15"/>
      <c r="M58" s="15"/>
      <c r="N58" s="16"/>
      <c r="O58" s="14" t="s">
        <v>31</v>
      </c>
      <c r="P58" s="15"/>
      <c r="Q58" s="15"/>
      <c r="R58" s="15"/>
      <c r="S58" s="15"/>
      <c r="T58" s="15" t="s">
        <v>28</v>
      </c>
      <c r="U58" s="15"/>
      <c r="V58" s="15"/>
      <c r="W58" s="15"/>
      <c r="X58" s="15"/>
      <c r="Y58" s="15"/>
      <c r="Z58" s="15"/>
      <c r="AA58" s="15"/>
      <c r="AB58" s="15"/>
      <c r="AC58" s="16"/>
      <c r="AD58" s="3"/>
      <c r="AE58" s="3"/>
      <c r="AF58" s="3"/>
      <c r="AG58" s="3"/>
      <c r="AH58" s="3"/>
      <c r="AI58" s="4"/>
    </row>
    <row r="59" spans="1:38" x14ac:dyDescent="0.25">
      <c r="A59" s="27"/>
      <c r="B59" s="28"/>
      <c r="C59" s="29"/>
      <c r="D59" s="30"/>
      <c r="E59" s="28"/>
      <c r="F59" s="29"/>
      <c r="G59" s="29"/>
      <c r="H59" s="33">
        <v>0.9</v>
      </c>
      <c r="I59" s="29"/>
      <c r="J59" s="29"/>
      <c r="K59" s="29"/>
      <c r="L59" s="29"/>
      <c r="M59" s="29"/>
      <c r="N59" s="30"/>
      <c r="O59" s="14"/>
      <c r="P59" s="15"/>
      <c r="Q59" s="15"/>
      <c r="R59" s="15"/>
      <c r="S59" s="15" t="s">
        <v>29</v>
      </c>
      <c r="T59" s="15">
        <f>V54</f>
        <v>0.68250000000000011</v>
      </c>
      <c r="U59" s="22" t="s">
        <v>16</v>
      </c>
      <c r="V59" s="15">
        <f>T57</f>
        <v>23</v>
      </c>
      <c r="W59" s="15"/>
      <c r="X59" s="15"/>
      <c r="Y59" s="15"/>
      <c r="Z59" s="15"/>
      <c r="AA59" s="15"/>
      <c r="AB59" s="15"/>
      <c r="AC59" s="16"/>
      <c r="AD59" s="31"/>
      <c r="AE59" s="31"/>
      <c r="AF59" s="31"/>
      <c r="AG59" s="31"/>
      <c r="AH59" s="31"/>
      <c r="AI59" s="32"/>
    </row>
    <row r="60" spans="1:38" x14ac:dyDescent="0.25">
      <c r="A60" s="27"/>
      <c r="B60" s="28"/>
      <c r="C60" s="29"/>
      <c r="D60" s="30"/>
      <c r="E60" s="28"/>
      <c r="F60" s="29"/>
      <c r="G60" s="29"/>
      <c r="I60" s="29"/>
      <c r="J60" s="29"/>
      <c r="K60" s="29"/>
      <c r="L60" s="29"/>
      <c r="M60" s="29"/>
      <c r="N60" s="30"/>
      <c r="O60" s="14"/>
      <c r="P60" s="15"/>
      <c r="Q60" s="15"/>
      <c r="R60" s="15"/>
      <c r="S60" s="15" t="s">
        <v>29</v>
      </c>
      <c r="T60" s="35">
        <f>T59*V59</f>
        <v>15.697500000000002</v>
      </c>
      <c r="U60" s="15"/>
      <c r="V60" s="15"/>
      <c r="W60" s="15"/>
      <c r="X60" s="15"/>
      <c r="Y60" s="15"/>
      <c r="Z60" s="15"/>
      <c r="AA60" s="15"/>
      <c r="AB60" s="15"/>
      <c r="AC60" s="16"/>
      <c r="AD60" s="31"/>
      <c r="AE60" s="31"/>
      <c r="AF60" s="31"/>
      <c r="AG60" s="31"/>
      <c r="AH60" s="31"/>
      <c r="AI60" s="32"/>
    </row>
    <row r="61" spans="1:38" x14ac:dyDescent="0.25">
      <c r="A61" s="27"/>
      <c r="B61" s="28"/>
      <c r="C61" s="29"/>
      <c r="D61" s="30"/>
      <c r="E61" s="28"/>
      <c r="F61" s="29"/>
      <c r="G61" s="29"/>
      <c r="H61" s="29"/>
      <c r="I61" s="29"/>
      <c r="J61" s="29"/>
      <c r="K61" s="29"/>
      <c r="L61" s="29"/>
      <c r="M61" s="29"/>
      <c r="N61" s="30"/>
      <c r="O61" s="14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6"/>
      <c r="AD61" s="31"/>
      <c r="AE61" s="31"/>
      <c r="AF61" s="31"/>
      <c r="AG61" s="31"/>
      <c r="AH61" s="31"/>
      <c r="AI61" s="32"/>
    </row>
    <row r="62" spans="1:38" x14ac:dyDescent="0.25">
      <c r="A62" s="27">
        <v>2</v>
      </c>
      <c r="B62" s="28" t="s">
        <v>33</v>
      </c>
      <c r="C62" s="29"/>
      <c r="D62" s="30"/>
      <c r="E62" s="28"/>
      <c r="F62" s="29"/>
      <c r="G62" s="29"/>
      <c r="H62" s="29"/>
      <c r="I62" s="29"/>
      <c r="J62" s="29"/>
      <c r="K62" s="29"/>
      <c r="L62" s="29"/>
      <c r="M62" s="29"/>
      <c r="N62" s="30"/>
      <c r="O62" s="14" t="s">
        <v>42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6"/>
      <c r="AD62" s="31"/>
      <c r="AE62" s="31"/>
      <c r="AF62" s="37">
        <f>R65+R71</f>
        <v>26.878125000000004</v>
      </c>
      <c r="AG62" s="31"/>
      <c r="AH62" s="31"/>
      <c r="AI62" s="32"/>
    </row>
    <row r="63" spans="1:38" x14ac:dyDescent="0.25">
      <c r="A63" s="27"/>
      <c r="B63" s="28"/>
      <c r="C63" s="29"/>
      <c r="D63" s="30"/>
      <c r="E63" s="28"/>
      <c r="F63" s="29"/>
      <c r="G63" s="29"/>
      <c r="H63" s="29"/>
      <c r="I63" s="29"/>
      <c r="J63" s="29"/>
      <c r="K63" s="29"/>
      <c r="L63" s="29"/>
      <c r="M63" s="29"/>
      <c r="N63" s="30"/>
      <c r="O63" s="14" t="s">
        <v>50</v>
      </c>
      <c r="P63" s="15"/>
      <c r="Q63" s="15"/>
      <c r="R63" s="15" t="s">
        <v>34</v>
      </c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6"/>
      <c r="AD63" s="31"/>
      <c r="AE63" s="31"/>
      <c r="AF63" s="31"/>
      <c r="AG63" s="31"/>
      <c r="AH63" s="31"/>
      <c r="AI63" s="32"/>
    </row>
    <row r="64" spans="1:38" x14ac:dyDescent="0.25">
      <c r="A64" s="27"/>
      <c r="B64" s="28"/>
      <c r="C64" s="29"/>
      <c r="D64" s="30"/>
      <c r="E64" s="28"/>
      <c r="F64" s="29"/>
      <c r="G64" s="29"/>
      <c r="H64" s="29"/>
      <c r="I64" s="29"/>
      <c r="J64" s="29"/>
      <c r="K64" s="29"/>
      <c r="L64" s="40">
        <v>0.4</v>
      </c>
      <c r="M64" s="29"/>
      <c r="N64" s="30"/>
      <c r="O64" s="14"/>
      <c r="P64" s="15"/>
      <c r="Q64" s="15" t="s">
        <v>17</v>
      </c>
      <c r="R64" s="15">
        <f>1/4</f>
        <v>0.25</v>
      </c>
      <c r="S64" s="15" t="s">
        <v>16</v>
      </c>
      <c r="T64" s="35">
        <f>AF35</f>
        <v>30.712500000000006</v>
      </c>
      <c r="U64" s="15"/>
      <c r="V64" s="15"/>
      <c r="W64" s="15"/>
      <c r="X64" s="15"/>
      <c r="Y64" s="15"/>
      <c r="Z64" s="15"/>
      <c r="AA64" s="15"/>
      <c r="AB64" s="15"/>
      <c r="AC64" s="16"/>
      <c r="AD64" s="31"/>
      <c r="AE64" s="31"/>
      <c r="AF64" s="31"/>
      <c r="AG64" s="31"/>
      <c r="AH64" s="31"/>
      <c r="AI64" s="32"/>
    </row>
    <row r="65" spans="1:35" x14ac:dyDescent="0.25">
      <c r="A65" s="27"/>
      <c r="B65" s="28"/>
      <c r="C65" s="29"/>
      <c r="D65" s="30"/>
      <c r="E65" s="28"/>
      <c r="F65" s="29"/>
      <c r="G65" s="29"/>
      <c r="H65" s="29"/>
      <c r="I65" s="29"/>
      <c r="J65" s="29"/>
      <c r="K65" s="29"/>
      <c r="L65" s="29"/>
      <c r="M65" s="29"/>
      <c r="N65" s="30"/>
      <c r="O65" s="14"/>
      <c r="P65" s="15"/>
      <c r="Q65" s="15" t="s">
        <v>17</v>
      </c>
      <c r="R65" s="15">
        <f>R64*T64</f>
        <v>7.6781250000000014</v>
      </c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6"/>
      <c r="AD65" s="31"/>
      <c r="AE65" s="31"/>
      <c r="AF65" s="31"/>
      <c r="AG65" s="31"/>
      <c r="AH65" s="31"/>
      <c r="AI65" s="32"/>
    </row>
    <row r="66" spans="1:35" x14ac:dyDescent="0.25">
      <c r="A66" s="27"/>
      <c r="B66" s="28"/>
      <c r="C66" s="29"/>
      <c r="D66" s="30"/>
      <c r="E66" s="28"/>
      <c r="F66" s="29"/>
      <c r="G66" s="29"/>
      <c r="H66" s="29"/>
      <c r="I66" s="29"/>
      <c r="J66" s="29"/>
      <c r="K66" s="29"/>
      <c r="L66" s="29"/>
      <c r="M66" s="29"/>
      <c r="N66" s="30"/>
      <c r="O66" s="14" t="s">
        <v>43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6"/>
      <c r="AD66" s="31"/>
      <c r="AE66" s="31"/>
      <c r="AF66" s="31"/>
      <c r="AG66" s="31"/>
      <c r="AH66" s="31"/>
      <c r="AI66" s="32"/>
    </row>
    <row r="67" spans="1:35" x14ac:dyDescent="0.25">
      <c r="A67" s="27"/>
      <c r="B67" s="28"/>
      <c r="C67" s="29"/>
      <c r="D67" s="30"/>
      <c r="E67" s="28"/>
      <c r="F67" s="29"/>
      <c r="G67" s="29"/>
      <c r="H67" s="29"/>
      <c r="I67" s="29"/>
      <c r="J67" s="29"/>
      <c r="K67" s="29"/>
      <c r="L67" s="29"/>
      <c r="M67" s="29"/>
      <c r="N67" s="30"/>
      <c r="O67" s="14"/>
      <c r="P67" s="15" t="s">
        <v>46</v>
      </c>
      <c r="Q67" s="15"/>
      <c r="R67" s="15"/>
      <c r="S67" s="15"/>
      <c r="T67" s="15"/>
      <c r="U67" s="15"/>
      <c r="V67" s="15">
        <f>F23*J14</f>
        <v>48</v>
      </c>
      <c r="W67" s="15"/>
      <c r="X67" s="15"/>
      <c r="Y67" s="15"/>
      <c r="Z67" s="15"/>
      <c r="AA67" s="15"/>
      <c r="AB67" s="15"/>
      <c r="AC67" s="16"/>
      <c r="AD67" s="31"/>
      <c r="AE67" s="31"/>
      <c r="AF67" s="31"/>
      <c r="AG67" s="31"/>
      <c r="AH67" s="31"/>
      <c r="AI67" s="32"/>
    </row>
    <row r="68" spans="1:35" x14ac:dyDescent="0.25">
      <c r="A68" s="27"/>
      <c r="B68" s="28"/>
      <c r="C68" s="29"/>
      <c r="D68" s="30"/>
      <c r="E68" s="28"/>
      <c r="F68" s="29"/>
      <c r="G68" s="29"/>
      <c r="H68" s="29"/>
      <c r="I68" s="29"/>
      <c r="J68" s="29"/>
      <c r="K68" s="29"/>
      <c r="L68" s="29"/>
      <c r="M68" s="29"/>
      <c r="N68" s="30"/>
      <c r="O68" s="14"/>
      <c r="P68" s="15" t="s">
        <v>49</v>
      </c>
      <c r="Q68" s="15"/>
      <c r="R68" s="15"/>
      <c r="S68" s="15"/>
      <c r="T68" s="15"/>
      <c r="U68" s="15"/>
      <c r="V68" s="15">
        <f>L64</f>
        <v>0.4</v>
      </c>
      <c r="W68" s="15"/>
      <c r="X68" s="15"/>
      <c r="Y68" s="15"/>
      <c r="Z68" s="15"/>
      <c r="AA68" s="15"/>
      <c r="AB68" s="15"/>
      <c r="AC68" s="16"/>
      <c r="AD68" s="31"/>
      <c r="AE68" s="31"/>
      <c r="AF68" s="31"/>
      <c r="AG68" s="31"/>
      <c r="AH68" s="31"/>
      <c r="AI68" s="32"/>
    </row>
    <row r="69" spans="1:35" x14ac:dyDescent="0.25">
      <c r="A69" s="27"/>
      <c r="B69" s="28"/>
      <c r="C69" s="29"/>
      <c r="D69" s="30"/>
      <c r="E69" s="28"/>
      <c r="F69" s="29"/>
      <c r="G69" s="29"/>
      <c r="H69" s="29"/>
      <c r="I69" s="29"/>
      <c r="J69" s="29"/>
      <c r="K69" s="29"/>
      <c r="L69" s="29"/>
      <c r="M69" s="29"/>
      <c r="N69" s="30"/>
      <c r="O69" s="14"/>
      <c r="P69" s="15"/>
      <c r="Q69" s="15" t="s">
        <v>29</v>
      </c>
      <c r="R69" s="15" t="s">
        <v>51</v>
      </c>
      <c r="S69" s="22"/>
      <c r="T69" s="15"/>
      <c r="U69" s="22"/>
      <c r="V69" s="15"/>
      <c r="W69" s="15"/>
      <c r="X69" s="15"/>
      <c r="Y69" s="15"/>
      <c r="Z69" s="15"/>
      <c r="AA69" s="15"/>
      <c r="AB69" s="15"/>
      <c r="AC69" s="16"/>
      <c r="AD69" s="31"/>
      <c r="AE69" s="31"/>
      <c r="AF69" s="31"/>
      <c r="AG69" s="31"/>
      <c r="AH69" s="31"/>
      <c r="AI69" s="32"/>
    </row>
    <row r="70" spans="1:35" x14ac:dyDescent="0.25">
      <c r="A70" s="27"/>
      <c r="B70" s="28"/>
      <c r="C70" s="29"/>
      <c r="D70" s="30"/>
      <c r="E70" s="28"/>
      <c r="F70" s="29"/>
      <c r="G70" s="29"/>
      <c r="H70" s="29"/>
      <c r="I70" s="29"/>
      <c r="J70" s="29"/>
      <c r="K70" s="29"/>
      <c r="L70" s="29"/>
      <c r="M70" s="29"/>
      <c r="N70" s="30"/>
      <c r="O70" s="14"/>
      <c r="P70" s="15"/>
      <c r="Q70" s="15" t="s">
        <v>29</v>
      </c>
      <c r="R70" s="15">
        <f>V67</f>
        <v>48</v>
      </c>
      <c r="S70" s="22" t="s">
        <v>16</v>
      </c>
      <c r="T70" s="15">
        <f>V68</f>
        <v>0.4</v>
      </c>
      <c r="U70" s="22"/>
      <c r="V70" s="15"/>
      <c r="W70" s="15"/>
      <c r="X70" s="15"/>
      <c r="Y70" s="15"/>
      <c r="Z70" s="15"/>
      <c r="AA70" s="15"/>
      <c r="AB70" s="15"/>
      <c r="AC70" s="16"/>
      <c r="AD70" s="31"/>
      <c r="AE70" s="31"/>
      <c r="AF70" s="31"/>
      <c r="AG70" s="31"/>
      <c r="AH70" s="31"/>
      <c r="AI70" s="32"/>
    </row>
    <row r="71" spans="1:35" x14ac:dyDescent="0.25">
      <c r="A71" s="27"/>
      <c r="B71" s="28"/>
      <c r="C71" s="29"/>
      <c r="D71" s="30"/>
      <c r="E71" s="28"/>
      <c r="F71" s="29"/>
      <c r="G71" s="29"/>
      <c r="H71" s="29"/>
      <c r="I71" s="29"/>
      <c r="J71" s="29"/>
      <c r="K71" s="29"/>
      <c r="L71" s="29"/>
      <c r="M71" s="29"/>
      <c r="N71" s="30"/>
      <c r="O71" s="14"/>
      <c r="P71" s="15"/>
      <c r="Q71" s="15" t="s">
        <v>17</v>
      </c>
      <c r="R71" s="15">
        <f>R70*T70</f>
        <v>19.200000000000003</v>
      </c>
      <c r="S71" s="22"/>
      <c r="T71" s="15"/>
      <c r="U71" s="22"/>
      <c r="V71" s="15"/>
      <c r="W71" s="15"/>
      <c r="X71" s="15"/>
      <c r="Y71" s="15"/>
      <c r="Z71" s="15"/>
      <c r="AA71" s="15"/>
      <c r="AB71" s="15"/>
      <c r="AC71" s="16"/>
      <c r="AD71" s="31"/>
      <c r="AE71" s="31"/>
      <c r="AF71" s="31"/>
      <c r="AG71" s="31"/>
      <c r="AH71" s="31"/>
      <c r="AI71" s="32"/>
    </row>
    <row r="72" spans="1:35" x14ac:dyDescent="0.25">
      <c r="A72" s="27"/>
      <c r="B72" s="28"/>
      <c r="C72" s="29"/>
      <c r="D72" s="30"/>
      <c r="E72" s="28"/>
      <c r="F72" s="29"/>
      <c r="G72" s="29"/>
      <c r="H72" s="29"/>
      <c r="I72" s="29"/>
      <c r="J72" s="29"/>
      <c r="K72" s="29"/>
      <c r="L72" s="29"/>
      <c r="M72" s="29"/>
      <c r="N72" s="30"/>
      <c r="O72" s="14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6"/>
      <c r="AD72" s="31"/>
      <c r="AE72" s="31"/>
      <c r="AF72" s="31"/>
      <c r="AG72" s="31"/>
      <c r="AH72" s="31"/>
      <c r="AI72" s="32"/>
    </row>
    <row r="73" spans="1:35" x14ac:dyDescent="0.25">
      <c r="A73" s="27">
        <v>3</v>
      </c>
      <c r="B73" s="28" t="s">
        <v>35</v>
      </c>
      <c r="C73" s="29"/>
      <c r="D73" s="30"/>
      <c r="E73" s="28"/>
      <c r="F73" s="29"/>
      <c r="G73" s="29"/>
      <c r="H73" s="29"/>
      <c r="I73" s="29"/>
      <c r="J73" s="29"/>
      <c r="K73" s="29"/>
      <c r="L73" s="29"/>
      <c r="M73" s="29"/>
      <c r="N73" s="30"/>
      <c r="O73" s="14" t="s">
        <v>39</v>
      </c>
      <c r="P73" s="15"/>
      <c r="Q73" s="15"/>
      <c r="R73" s="15"/>
      <c r="S73" s="15"/>
      <c r="T73" s="15"/>
      <c r="U73" s="15"/>
      <c r="V73" s="15">
        <f>T45+T57</f>
        <v>45</v>
      </c>
      <c r="W73" s="15"/>
      <c r="X73" s="15"/>
      <c r="Y73" s="15"/>
      <c r="Z73" s="15"/>
      <c r="AA73" s="15"/>
      <c r="AB73" s="15"/>
      <c r="AC73" s="16"/>
      <c r="AD73" s="31"/>
      <c r="AE73" s="31"/>
      <c r="AF73" s="39">
        <f>T79</f>
        <v>2.0250000000000004</v>
      </c>
      <c r="AG73" s="31"/>
      <c r="AH73" s="31"/>
      <c r="AI73" s="32"/>
    </row>
    <row r="74" spans="1:35" x14ac:dyDescent="0.25">
      <c r="A74" s="27"/>
      <c r="B74" s="28"/>
      <c r="C74" s="29"/>
      <c r="D74" s="30"/>
      <c r="E74" s="28"/>
      <c r="F74" s="29"/>
      <c r="G74" s="29"/>
      <c r="H74" s="29"/>
      <c r="I74" s="29"/>
      <c r="J74" s="29"/>
      <c r="K74" s="29"/>
      <c r="L74" s="29"/>
      <c r="M74" s="29"/>
      <c r="N74" s="30"/>
      <c r="O74" s="14" t="s">
        <v>40</v>
      </c>
      <c r="P74" s="15"/>
      <c r="Q74" s="15"/>
      <c r="R74" s="15"/>
      <c r="S74" s="15"/>
      <c r="T74" s="15"/>
      <c r="U74" s="15"/>
      <c r="V74" s="15">
        <f>H80</f>
        <v>0.9</v>
      </c>
      <c r="W74" s="15"/>
      <c r="X74" s="15"/>
      <c r="Y74" s="15"/>
      <c r="Z74" s="15"/>
      <c r="AA74" s="15"/>
      <c r="AB74" s="15"/>
      <c r="AC74" s="16"/>
      <c r="AD74" s="31"/>
      <c r="AE74" s="31"/>
      <c r="AF74" s="31"/>
      <c r="AG74" s="31"/>
      <c r="AH74" s="31"/>
      <c r="AI74" s="32"/>
    </row>
    <row r="75" spans="1:35" x14ac:dyDescent="0.25">
      <c r="A75" s="27"/>
      <c r="B75" s="28"/>
      <c r="C75" s="29"/>
      <c r="D75" s="30"/>
      <c r="E75" s="28"/>
      <c r="F75" s="29"/>
      <c r="G75" s="29"/>
      <c r="H75" s="29"/>
      <c r="I75" s="29"/>
      <c r="J75" s="29"/>
      <c r="K75" s="29"/>
      <c r="L75" s="29"/>
      <c r="M75" s="29"/>
      <c r="N75" s="30"/>
      <c r="O75" s="14" t="s">
        <v>47</v>
      </c>
      <c r="P75" s="15"/>
      <c r="Q75" s="15"/>
      <c r="R75" s="15"/>
      <c r="S75" s="15"/>
      <c r="T75" s="15"/>
      <c r="U75" s="15"/>
      <c r="V75" s="15">
        <f>K78</f>
        <v>0.05</v>
      </c>
      <c r="W75" s="15"/>
      <c r="X75" s="15"/>
      <c r="Y75" s="15"/>
      <c r="Z75" s="15"/>
      <c r="AA75" s="15"/>
      <c r="AB75" s="15"/>
      <c r="AC75" s="16"/>
      <c r="AD75" s="31"/>
      <c r="AE75" s="31"/>
      <c r="AF75" s="31"/>
      <c r="AG75" s="31"/>
      <c r="AH75" s="31"/>
      <c r="AI75" s="32"/>
    </row>
    <row r="76" spans="1:35" x14ac:dyDescent="0.25">
      <c r="A76" s="27"/>
      <c r="B76" s="28"/>
      <c r="C76" s="29"/>
      <c r="D76" s="30"/>
      <c r="E76" s="28"/>
      <c r="F76" s="29"/>
      <c r="G76" s="29"/>
      <c r="H76" s="29"/>
      <c r="I76" s="29"/>
      <c r="J76" s="29"/>
      <c r="K76" s="29"/>
      <c r="L76" s="29"/>
      <c r="M76" s="29"/>
      <c r="N76" s="30"/>
      <c r="O76" s="14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6"/>
      <c r="AD76" s="31"/>
      <c r="AE76" s="31"/>
      <c r="AF76" s="31"/>
      <c r="AG76" s="31"/>
      <c r="AH76" s="31"/>
      <c r="AI76" s="32"/>
    </row>
    <row r="77" spans="1:35" x14ac:dyDescent="0.25">
      <c r="A77" s="27"/>
      <c r="B77" s="28"/>
      <c r="C77" s="29"/>
      <c r="D77" s="30"/>
      <c r="E77" s="28"/>
      <c r="F77" s="29"/>
      <c r="G77" s="29"/>
      <c r="H77" s="29"/>
      <c r="I77" s="29"/>
      <c r="J77" s="29"/>
      <c r="K77" s="29"/>
      <c r="L77" s="29"/>
      <c r="M77" s="29"/>
      <c r="N77" s="30"/>
      <c r="O77" s="14" t="s">
        <v>45</v>
      </c>
      <c r="P77" s="15"/>
      <c r="Q77" s="15"/>
      <c r="R77" s="15"/>
      <c r="S77" s="15"/>
      <c r="T77" s="15" t="s">
        <v>41</v>
      </c>
      <c r="U77" s="15"/>
      <c r="V77" s="15"/>
      <c r="W77" s="15"/>
      <c r="X77" s="15"/>
      <c r="Y77" s="15"/>
      <c r="Z77" s="15"/>
      <c r="AA77" s="15"/>
      <c r="AB77" s="15"/>
      <c r="AC77" s="16"/>
      <c r="AD77" s="31"/>
      <c r="AE77" s="31"/>
      <c r="AF77" s="31"/>
      <c r="AG77" s="31"/>
      <c r="AH77" s="31"/>
      <c r="AI77" s="32"/>
    </row>
    <row r="78" spans="1:35" x14ac:dyDescent="0.25">
      <c r="A78" s="27"/>
      <c r="B78" s="28"/>
      <c r="C78" s="29"/>
      <c r="D78" s="30"/>
      <c r="E78" s="28"/>
      <c r="F78" s="29"/>
      <c r="G78" s="29"/>
      <c r="H78" s="29"/>
      <c r="I78" s="29"/>
      <c r="J78" s="29"/>
      <c r="K78" s="40">
        <v>0.05</v>
      </c>
      <c r="L78" s="29"/>
      <c r="M78" s="29"/>
      <c r="N78" s="30"/>
      <c r="O78" s="14"/>
      <c r="P78" s="15"/>
      <c r="Q78" s="15"/>
      <c r="R78" s="15"/>
      <c r="S78" s="15" t="s">
        <v>29</v>
      </c>
      <c r="T78" s="15">
        <f>V74</f>
        <v>0.9</v>
      </c>
      <c r="U78" s="22" t="s">
        <v>16</v>
      </c>
      <c r="V78" s="15">
        <f>V75</f>
        <v>0.05</v>
      </c>
      <c r="W78" s="22" t="s">
        <v>16</v>
      </c>
      <c r="X78" s="15">
        <f>V73</f>
        <v>45</v>
      </c>
      <c r="Y78" s="15"/>
      <c r="Z78" s="15"/>
      <c r="AA78" s="15"/>
      <c r="AB78" s="15"/>
      <c r="AC78" s="16"/>
      <c r="AD78" s="31"/>
      <c r="AE78" s="31"/>
      <c r="AF78" s="31"/>
      <c r="AG78" s="31"/>
      <c r="AH78" s="31"/>
      <c r="AI78" s="32"/>
    </row>
    <row r="79" spans="1:35" x14ac:dyDescent="0.25">
      <c r="A79" s="27"/>
      <c r="B79" s="28"/>
      <c r="C79" s="29"/>
      <c r="D79" s="30"/>
      <c r="E79" s="28"/>
      <c r="F79" s="29"/>
      <c r="G79" s="29"/>
      <c r="H79" s="29"/>
      <c r="I79" s="29"/>
      <c r="J79" s="29"/>
      <c r="K79" s="29"/>
      <c r="L79" s="29"/>
      <c r="M79" s="29"/>
      <c r="N79" s="30"/>
      <c r="O79" s="14"/>
      <c r="P79" s="15"/>
      <c r="Q79" s="15"/>
      <c r="R79" s="15"/>
      <c r="S79" s="15" t="s">
        <v>29</v>
      </c>
      <c r="T79" s="15">
        <f>T78*V78*X78</f>
        <v>2.0250000000000004</v>
      </c>
      <c r="U79" s="15"/>
      <c r="V79" s="15"/>
      <c r="W79" s="15"/>
      <c r="X79" s="15"/>
      <c r="Y79" s="15"/>
      <c r="Z79" s="15"/>
      <c r="AA79" s="15"/>
      <c r="AB79" s="15"/>
      <c r="AC79" s="16"/>
      <c r="AD79" s="31"/>
      <c r="AE79" s="31"/>
      <c r="AF79" s="31"/>
      <c r="AG79" s="31"/>
      <c r="AH79" s="31"/>
      <c r="AI79" s="32"/>
    </row>
    <row r="80" spans="1:35" x14ac:dyDescent="0.25">
      <c r="A80" s="27"/>
      <c r="B80" s="28"/>
      <c r="C80" s="29"/>
      <c r="D80" s="30"/>
      <c r="E80" s="28"/>
      <c r="F80" s="29"/>
      <c r="G80" s="29"/>
      <c r="H80" s="40">
        <v>0.9</v>
      </c>
      <c r="I80" s="29"/>
      <c r="J80" s="29"/>
      <c r="K80" s="29"/>
      <c r="L80" s="29"/>
      <c r="M80" s="29"/>
      <c r="N80" s="30"/>
      <c r="O80" s="14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6"/>
      <c r="AD80" s="31"/>
      <c r="AE80" s="31"/>
      <c r="AF80" s="31"/>
      <c r="AG80" s="31"/>
      <c r="AH80" s="31"/>
      <c r="AI80" s="32"/>
    </row>
    <row r="81" spans="1:35" x14ac:dyDescent="0.25">
      <c r="A81" s="27">
        <v>4</v>
      </c>
      <c r="B81" s="28" t="s">
        <v>44</v>
      </c>
      <c r="C81" s="29"/>
      <c r="D81" s="30"/>
      <c r="E81" s="28"/>
      <c r="F81" s="29"/>
      <c r="G81" s="29"/>
      <c r="H81" s="29"/>
      <c r="I81" s="29"/>
      <c r="J81" s="29"/>
      <c r="K81" s="29"/>
      <c r="L81" s="29"/>
      <c r="M81" s="29"/>
      <c r="N81" s="30"/>
      <c r="O81" s="14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6"/>
      <c r="AD81" s="31"/>
      <c r="AE81" s="31"/>
      <c r="AF81" s="39">
        <f>T85</f>
        <v>4.8000000000000007</v>
      </c>
      <c r="AG81" s="31"/>
      <c r="AH81" s="31"/>
      <c r="AI81" s="32"/>
    </row>
    <row r="82" spans="1:35" x14ac:dyDescent="0.25">
      <c r="A82" s="27"/>
      <c r="B82" s="28"/>
      <c r="C82" s="29"/>
      <c r="D82" s="30"/>
      <c r="E82" s="28"/>
      <c r="F82" s="29"/>
      <c r="G82" s="29"/>
      <c r="H82" s="29"/>
      <c r="I82" s="29"/>
      <c r="J82" s="29"/>
      <c r="K82" s="29"/>
      <c r="L82" s="29"/>
      <c r="M82" s="29"/>
      <c r="N82" s="30"/>
      <c r="O82" s="14"/>
      <c r="P82" s="15" t="s">
        <v>46</v>
      </c>
      <c r="Q82" s="15"/>
      <c r="R82" s="15"/>
      <c r="S82" s="15"/>
      <c r="T82" s="15"/>
      <c r="U82" s="15"/>
      <c r="V82" s="15">
        <f>F23*J14</f>
        <v>48</v>
      </c>
      <c r="W82" s="15"/>
      <c r="X82" s="15"/>
      <c r="Y82" s="15"/>
      <c r="Z82" s="15"/>
      <c r="AA82" s="15"/>
      <c r="AB82" s="15"/>
      <c r="AC82" s="16"/>
      <c r="AD82" s="31"/>
      <c r="AE82" s="31"/>
      <c r="AF82" s="31"/>
      <c r="AG82" s="31"/>
      <c r="AH82" s="31"/>
      <c r="AI82" s="32"/>
    </row>
    <row r="83" spans="1:35" x14ac:dyDescent="0.25">
      <c r="A83" s="27"/>
      <c r="B83" s="28"/>
      <c r="C83" s="29"/>
      <c r="D83" s="30"/>
      <c r="E83" s="28"/>
      <c r="F83" s="29"/>
      <c r="G83" s="29"/>
      <c r="H83" s="29"/>
      <c r="I83" s="29"/>
      <c r="J83" s="29"/>
      <c r="K83" s="29"/>
      <c r="L83" s="29"/>
      <c r="M83" s="29"/>
      <c r="N83" s="30"/>
      <c r="O83" s="14"/>
      <c r="P83" s="15" t="s">
        <v>47</v>
      </c>
      <c r="Q83" s="15"/>
      <c r="R83" s="15"/>
      <c r="S83" s="15"/>
      <c r="T83" s="15"/>
      <c r="U83" s="15"/>
      <c r="V83" s="15">
        <v>0.1</v>
      </c>
      <c r="W83" s="15"/>
      <c r="X83" s="15"/>
      <c r="Y83" s="15"/>
      <c r="Z83" s="15"/>
      <c r="AA83" s="15"/>
      <c r="AB83" s="15"/>
      <c r="AC83" s="16"/>
      <c r="AD83" s="31"/>
      <c r="AE83" s="31"/>
      <c r="AF83" s="31"/>
      <c r="AG83" s="31"/>
      <c r="AH83" s="31"/>
      <c r="AI83" s="32"/>
    </row>
    <row r="84" spans="1:35" x14ac:dyDescent="0.25">
      <c r="A84" s="27"/>
      <c r="B84" s="28"/>
      <c r="C84" s="29"/>
      <c r="D84" s="30"/>
      <c r="E84" s="28"/>
      <c r="F84" s="29"/>
      <c r="G84" s="29"/>
      <c r="H84" s="29"/>
      <c r="I84" s="29"/>
      <c r="J84" s="29"/>
      <c r="K84" s="29"/>
      <c r="L84" s="29"/>
      <c r="M84" s="29"/>
      <c r="N84" s="30"/>
      <c r="O84" s="14"/>
      <c r="P84" s="15" t="s">
        <v>48</v>
      </c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6"/>
      <c r="AD84" s="31"/>
      <c r="AE84" s="31"/>
      <c r="AF84" s="31"/>
      <c r="AG84" s="31"/>
      <c r="AH84" s="31"/>
      <c r="AI84" s="32"/>
    </row>
    <row r="85" spans="1:35" x14ac:dyDescent="0.25">
      <c r="A85" s="27"/>
      <c r="B85" s="28"/>
      <c r="C85" s="29"/>
      <c r="D85" s="30"/>
      <c r="E85" s="28"/>
      <c r="F85" s="29"/>
      <c r="G85" s="29"/>
      <c r="H85" s="29"/>
      <c r="I85" s="29"/>
      <c r="J85" s="29"/>
      <c r="K85" s="29"/>
      <c r="L85" s="29"/>
      <c r="M85" s="29"/>
      <c r="N85" s="30"/>
      <c r="O85" s="14"/>
      <c r="P85" s="15"/>
      <c r="Q85" s="15"/>
      <c r="R85" s="15"/>
      <c r="S85" s="15" t="s">
        <v>29</v>
      </c>
      <c r="T85" s="22">
        <f>V82*V83</f>
        <v>4.8000000000000007</v>
      </c>
      <c r="U85" s="15"/>
      <c r="V85" s="15"/>
      <c r="W85" s="22"/>
      <c r="X85" s="15"/>
      <c r="Y85" s="15"/>
      <c r="Z85" s="15"/>
      <c r="AA85" s="15"/>
      <c r="AB85" s="15"/>
      <c r="AC85" s="16"/>
      <c r="AD85" s="31"/>
      <c r="AE85" s="31"/>
      <c r="AF85" s="31"/>
      <c r="AG85" s="31"/>
      <c r="AH85" s="31"/>
      <c r="AI85" s="32"/>
    </row>
    <row r="86" spans="1:35" ht="15.75" thickBot="1" x14ac:dyDescent="0.3">
      <c r="A86" s="5"/>
      <c r="B86" s="17"/>
      <c r="C86" s="18"/>
      <c r="D86" s="19"/>
      <c r="E86" s="17"/>
      <c r="F86" s="18"/>
      <c r="G86" s="18"/>
      <c r="H86" s="18"/>
      <c r="I86" s="18"/>
      <c r="J86" s="18"/>
      <c r="K86" s="18"/>
      <c r="L86" s="18"/>
      <c r="M86" s="18"/>
      <c r="N86" s="19"/>
      <c r="O86" s="17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9"/>
      <c r="AD86" s="6"/>
      <c r="AE86" s="6"/>
      <c r="AF86" s="6"/>
      <c r="AG86" s="6"/>
      <c r="AH86" s="6"/>
      <c r="AI86" s="7"/>
    </row>
    <row r="87" spans="1:35" ht="15.75" thickTop="1" x14ac:dyDescent="0.25">
      <c r="A87" s="597"/>
      <c r="B87" s="272"/>
      <c r="C87" s="598"/>
      <c r="D87" s="273"/>
      <c r="E87" s="272"/>
      <c r="F87" s="598"/>
      <c r="G87" s="598"/>
      <c r="H87" s="598"/>
      <c r="I87" s="598"/>
      <c r="J87" s="598"/>
      <c r="K87" s="598"/>
      <c r="L87" s="598"/>
      <c r="M87" s="598"/>
      <c r="N87" s="273"/>
      <c r="O87" s="8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81"/>
      <c r="AD87" s="274"/>
      <c r="AE87" s="274"/>
      <c r="AF87" s="274"/>
      <c r="AG87" s="274"/>
      <c r="AH87" s="274"/>
      <c r="AI87" s="599"/>
    </row>
    <row r="88" spans="1:35" x14ac:dyDescent="0.25">
      <c r="A88" s="41" t="s">
        <v>52</v>
      </c>
      <c r="B88" s="42" t="s">
        <v>53</v>
      </c>
      <c r="C88" s="29"/>
      <c r="D88" s="30"/>
      <c r="E88" s="28"/>
      <c r="F88" s="29"/>
      <c r="G88" s="29"/>
      <c r="H88" s="29"/>
      <c r="I88" s="29"/>
      <c r="J88" s="29"/>
      <c r="K88" s="29"/>
      <c r="L88" s="29"/>
      <c r="M88" s="29"/>
      <c r="N88" s="30"/>
      <c r="O88" s="14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6"/>
      <c r="AD88" s="31"/>
      <c r="AE88" s="31"/>
      <c r="AF88" s="31"/>
      <c r="AG88" s="31"/>
      <c r="AH88" s="31"/>
      <c r="AI88" s="32"/>
    </row>
    <row r="89" spans="1:35" x14ac:dyDescent="0.25">
      <c r="A89" s="27">
        <v>1</v>
      </c>
      <c r="B89" s="28" t="s">
        <v>54</v>
      </c>
      <c r="C89" s="29"/>
      <c r="D89" s="30"/>
      <c r="E89" s="28"/>
      <c r="F89" s="29"/>
      <c r="G89" s="29"/>
      <c r="H89" s="29"/>
      <c r="I89" s="29"/>
      <c r="J89" s="29"/>
      <c r="K89" s="29"/>
      <c r="L89" s="29"/>
      <c r="M89" s="29"/>
      <c r="N89" s="30"/>
      <c r="O89" s="14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6"/>
      <c r="AD89" s="31"/>
      <c r="AE89" s="31"/>
      <c r="AF89" s="37">
        <f>Q96</f>
        <v>6.0750000000000002</v>
      </c>
      <c r="AG89" s="31"/>
      <c r="AH89" s="31"/>
      <c r="AI89" s="32"/>
    </row>
    <row r="90" spans="1:35" x14ac:dyDescent="0.25">
      <c r="A90" s="27"/>
      <c r="B90" s="28"/>
      <c r="C90" s="29"/>
      <c r="D90" s="30"/>
      <c r="E90" s="28"/>
      <c r="F90" s="29"/>
      <c r="G90" s="29"/>
      <c r="H90" s="29"/>
      <c r="I90" s="29"/>
      <c r="J90" s="29"/>
      <c r="K90" s="29"/>
      <c r="L90" s="29"/>
      <c r="M90" s="29"/>
      <c r="N90" s="30"/>
      <c r="O90" s="28" t="s">
        <v>39</v>
      </c>
      <c r="P90" s="29"/>
      <c r="Q90" s="29"/>
      <c r="R90" s="29"/>
      <c r="S90" s="29"/>
      <c r="T90" s="29"/>
      <c r="U90" s="29"/>
      <c r="V90" s="29">
        <f>V73</f>
        <v>45</v>
      </c>
      <c r="W90" s="29"/>
      <c r="X90" s="29"/>
      <c r="Y90" s="29"/>
      <c r="Z90" s="29"/>
      <c r="AA90" s="29"/>
      <c r="AB90" s="29"/>
      <c r="AC90" s="30"/>
      <c r="AD90" s="31"/>
      <c r="AE90" s="31"/>
      <c r="AF90" s="31"/>
      <c r="AG90" s="31"/>
      <c r="AH90" s="31"/>
      <c r="AI90" s="32"/>
    </row>
    <row r="91" spans="1:35" x14ac:dyDescent="0.25">
      <c r="A91" s="27"/>
      <c r="B91" s="28"/>
      <c r="C91" s="29"/>
      <c r="D91" s="30"/>
      <c r="E91" s="28"/>
      <c r="F91" s="29"/>
      <c r="G91" s="29"/>
      <c r="H91" s="29"/>
      <c r="I91" s="29"/>
      <c r="J91" s="29"/>
      <c r="K91" s="29"/>
      <c r="L91" s="29"/>
      <c r="M91" s="29"/>
      <c r="N91" s="30"/>
      <c r="O91" s="28" t="s">
        <v>55</v>
      </c>
      <c r="P91" s="29"/>
      <c r="Q91" s="29"/>
      <c r="R91" s="29"/>
      <c r="S91" s="29"/>
      <c r="T91" s="29"/>
      <c r="U91" s="29"/>
      <c r="V91" s="29">
        <f>H101</f>
        <v>0.9</v>
      </c>
      <c r="W91" s="29"/>
      <c r="X91" s="29"/>
      <c r="Y91" s="29"/>
      <c r="Z91" s="29"/>
      <c r="AA91" s="29"/>
      <c r="AB91" s="29"/>
      <c r="AC91" s="30"/>
      <c r="AD91" s="31"/>
      <c r="AE91" s="31"/>
      <c r="AF91" s="31"/>
      <c r="AG91" s="31"/>
      <c r="AH91" s="31"/>
      <c r="AI91" s="32"/>
    </row>
    <row r="92" spans="1:35" x14ac:dyDescent="0.25">
      <c r="A92" s="27"/>
      <c r="B92" s="28"/>
      <c r="C92" s="29"/>
      <c r="D92" s="30"/>
      <c r="E92" s="28"/>
      <c r="F92" s="29"/>
      <c r="G92" s="29"/>
      <c r="H92" s="29"/>
      <c r="I92" s="29"/>
      <c r="J92" s="29"/>
      <c r="K92" s="29"/>
      <c r="L92" s="29"/>
      <c r="M92" s="29"/>
      <c r="N92" s="30"/>
      <c r="O92" s="28" t="s">
        <v>56</v>
      </c>
      <c r="P92" s="29"/>
      <c r="Q92" s="29"/>
      <c r="R92" s="29"/>
      <c r="S92" s="29"/>
      <c r="T92" s="29"/>
      <c r="U92" s="29"/>
      <c r="V92" s="29">
        <f>L98</f>
        <v>0.15</v>
      </c>
      <c r="W92" s="29"/>
      <c r="X92" s="29"/>
      <c r="Y92" s="29"/>
      <c r="Z92" s="29"/>
      <c r="AA92" s="29"/>
      <c r="AB92" s="29"/>
      <c r="AC92" s="30"/>
      <c r="AD92" s="31"/>
      <c r="AE92" s="31"/>
      <c r="AF92" s="31"/>
      <c r="AG92" s="31"/>
      <c r="AH92" s="31"/>
      <c r="AI92" s="32"/>
    </row>
    <row r="93" spans="1:35" x14ac:dyDescent="0.25">
      <c r="A93" s="27"/>
      <c r="B93" s="28"/>
      <c r="C93" s="29"/>
      <c r="D93" s="30"/>
      <c r="E93" s="28"/>
      <c r="F93" s="29"/>
      <c r="G93" s="29"/>
      <c r="H93" s="29"/>
      <c r="I93" s="29"/>
      <c r="J93" s="29"/>
      <c r="K93" s="29"/>
      <c r="L93" s="29"/>
      <c r="M93" s="29"/>
      <c r="N93" s="30"/>
      <c r="O93" s="28" t="s">
        <v>57</v>
      </c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30"/>
      <c r="AD93" s="31"/>
      <c r="AE93" s="31"/>
      <c r="AF93" s="31"/>
      <c r="AG93" s="31"/>
      <c r="AH93" s="31"/>
      <c r="AI93" s="32"/>
    </row>
    <row r="94" spans="1:35" x14ac:dyDescent="0.25">
      <c r="A94" s="27"/>
      <c r="B94" s="28"/>
      <c r="C94" s="29"/>
      <c r="D94" s="30"/>
      <c r="E94" s="28"/>
      <c r="F94" s="29"/>
      <c r="G94" s="29"/>
      <c r="H94" s="29"/>
      <c r="I94" s="29"/>
      <c r="J94" s="29"/>
      <c r="K94" s="29"/>
      <c r="L94" s="29"/>
      <c r="M94" s="29"/>
      <c r="N94" s="30"/>
      <c r="O94" s="28"/>
      <c r="P94" s="29" t="s">
        <v>58</v>
      </c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30"/>
      <c r="AD94" s="31"/>
      <c r="AE94" s="31"/>
      <c r="AF94" s="31"/>
      <c r="AG94" s="31"/>
      <c r="AH94" s="31"/>
      <c r="AI94" s="32"/>
    </row>
    <row r="95" spans="1:35" x14ac:dyDescent="0.25">
      <c r="A95" s="27"/>
      <c r="B95" s="28"/>
      <c r="C95" s="29"/>
      <c r="D95" s="30"/>
      <c r="E95" s="28"/>
      <c r="F95" s="29"/>
      <c r="G95" s="29"/>
      <c r="H95" s="29"/>
      <c r="I95" s="29"/>
      <c r="J95" s="29"/>
      <c r="K95" s="29"/>
      <c r="L95" s="29"/>
      <c r="M95" s="29"/>
      <c r="N95" s="30"/>
      <c r="O95" s="28"/>
      <c r="P95" s="29" t="s">
        <v>29</v>
      </c>
      <c r="Q95" s="29">
        <f>V90</f>
        <v>45</v>
      </c>
      <c r="R95" s="38" t="s">
        <v>16</v>
      </c>
      <c r="S95" s="29">
        <f>V91</f>
        <v>0.9</v>
      </c>
      <c r="T95" s="38" t="s">
        <v>16</v>
      </c>
      <c r="U95" s="29">
        <f>V92</f>
        <v>0.15</v>
      </c>
      <c r="V95" s="29"/>
      <c r="W95" s="29"/>
      <c r="X95" s="29"/>
      <c r="Y95" s="29"/>
      <c r="Z95" s="29"/>
      <c r="AA95" s="29"/>
      <c r="AB95" s="29"/>
      <c r="AC95" s="30"/>
      <c r="AD95" s="31"/>
      <c r="AE95" s="31"/>
      <c r="AF95" s="31"/>
      <c r="AG95" s="31"/>
      <c r="AH95" s="31"/>
      <c r="AI95" s="32"/>
    </row>
    <row r="96" spans="1:35" x14ac:dyDescent="0.25">
      <c r="A96" s="27"/>
      <c r="B96" s="28"/>
      <c r="C96" s="29"/>
      <c r="D96" s="30"/>
      <c r="E96" s="28"/>
      <c r="F96" s="29"/>
      <c r="G96" s="29"/>
      <c r="H96" s="29"/>
      <c r="I96" s="29"/>
      <c r="J96" s="29"/>
      <c r="K96" s="29"/>
      <c r="L96" s="29"/>
      <c r="M96" s="29"/>
      <c r="N96" s="30"/>
      <c r="O96" s="28"/>
      <c r="P96" s="29" t="s">
        <v>17</v>
      </c>
      <c r="Q96" s="79">
        <f>Q95*S95*U95</f>
        <v>6.0750000000000002</v>
      </c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30"/>
      <c r="AD96" s="31"/>
      <c r="AE96" s="31"/>
      <c r="AF96" s="31"/>
      <c r="AG96" s="31"/>
      <c r="AH96" s="31"/>
      <c r="AI96" s="32"/>
    </row>
    <row r="97" spans="1:35" x14ac:dyDescent="0.25">
      <c r="A97" s="27"/>
      <c r="B97" s="28"/>
      <c r="C97" s="29"/>
      <c r="D97" s="30"/>
      <c r="E97" s="28"/>
      <c r="F97" s="29"/>
      <c r="G97" s="29"/>
      <c r="H97" s="29"/>
      <c r="I97" s="29"/>
      <c r="J97" s="29"/>
      <c r="K97" s="29"/>
      <c r="L97" s="29"/>
      <c r="M97" s="29"/>
      <c r="N97" s="30"/>
      <c r="O97" s="28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30"/>
      <c r="AD97" s="31"/>
      <c r="AE97" s="31"/>
      <c r="AF97" s="31"/>
      <c r="AG97" s="31"/>
      <c r="AH97" s="31"/>
      <c r="AI97" s="32"/>
    </row>
    <row r="98" spans="1:35" x14ac:dyDescent="0.25">
      <c r="A98" s="27"/>
      <c r="B98" s="28"/>
      <c r="C98" s="29"/>
      <c r="D98" s="30"/>
      <c r="E98" s="28"/>
      <c r="F98" s="29"/>
      <c r="G98" s="29"/>
      <c r="H98" s="29"/>
      <c r="I98" s="29"/>
      <c r="J98" s="29"/>
      <c r="K98" s="29"/>
      <c r="L98" s="33">
        <v>0.15</v>
      </c>
      <c r="N98" s="30"/>
      <c r="O98" s="28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30"/>
      <c r="AD98" s="31"/>
      <c r="AE98" s="31"/>
      <c r="AF98" s="31"/>
      <c r="AG98" s="31"/>
      <c r="AH98" s="31"/>
      <c r="AI98" s="32"/>
    </row>
    <row r="99" spans="1:35" x14ac:dyDescent="0.25">
      <c r="A99" s="27"/>
      <c r="B99" s="28"/>
      <c r="C99" s="29"/>
      <c r="D99" s="30"/>
      <c r="E99" s="28"/>
      <c r="F99" s="29"/>
      <c r="G99" s="29"/>
      <c r="H99" s="29"/>
      <c r="I99" s="29"/>
      <c r="J99" s="29"/>
      <c r="K99" s="29"/>
      <c r="L99" s="29"/>
      <c r="M99" s="29"/>
      <c r="N99" s="30"/>
      <c r="O99" s="28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30"/>
      <c r="AD99" s="31"/>
      <c r="AE99" s="31"/>
      <c r="AF99" s="31"/>
      <c r="AG99" s="31"/>
      <c r="AH99" s="31"/>
      <c r="AI99" s="32"/>
    </row>
    <row r="100" spans="1:35" x14ac:dyDescent="0.25">
      <c r="A100" s="27"/>
      <c r="B100" s="28"/>
      <c r="C100" s="29"/>
      <c r="D100" s="30"/>
      <c r="E100" s="28"/>
      <c r="F100" s="29"/>
      <c r="G100" s="29"/>
      <c r="H100" s="29"/>
      <c r="I100" s="29"/>
      <c r="J100" s="29"/>
      <c r="K100" s="29"/>
      <c r="L100" s="29"/>
      <c r="M100" s="29"/>
      <c r="N100" s="30"/>
      <c r="O100" s="28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30"/>
      <c r="AD100" s="31"/>
      <c r="AE100" s="31"/>
      <c r="AF100" s="31"/>
      <c r="AG100" s="31"/>
      <c r="AH100" s="31"/>
      <c r="AI100" s="32"/>
    </row>
    <row r="101" spans="1:35" x14ac:dyDescent="0.25">
      <c r="A101" s="27"/>
      <c r="B101" s="28"/>
      <c r="C101" s="29"/>
      <c r="D101" s="30"/>
      <c r="E101" s="28"/>
      <c r="F101" s="29"/>
      <c r="G101" s="29"/>
      <c r="H101" s="33">
        <v>0.9</v>
      </c>
      <c r="I101" s="29"/>
      <c r="J101" s="29"/>
      <c r="K101" s="29"/>
      <c r="L101" s="29"/>
      <c r="M101" s="29"/>
      <c r="N101" s="30"/>
      <c r="O101" s="28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30"/>
      <c r="AD101" s="31"/>
      <c r="AE101" s="31"/>
      <c r="AF101" s="31"/>
      <c r="AG101" s="31"/>
      <c r="AH101" s="31"/>
      <c r="AI101" s="32"/>
    </row>
    <row r="102" spans="1:35" x14ac:dyDescent="0.25">
      <c r="A102" s="27"/>
      <c r="B102" s="28"/>
      <c r="C102" s="29"/>
      <c r="D102" s="30"/>
      <c r="E102" s="28"/>
      <c r="F102" s="29"/>
      <c r="G102" s="29"/>
      <c r="H102" s="29"/>
      <c r="I102" s="29"/>
      <c r="J102" s="29"/>
      <c r="K102" s="29"/>
      <c r="L102" s="29"/>
      <c r="M102" s="29"/>
      <c r="N102" s="30"/>
      <c r="O102" s="28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30"/>
      <c r="AD102" s="31"/>
      <c r="AE102" s="31"/>
      <c r="AF102" s="31"/>
      <c r="AG102" s="31"/>
      <c r="AH102" s="31"/>
      <c r="AI102" s="32"/>
    </row>
    <row r="103" spans="1:35" x14ac:dyDescent="0.25">
      <c r="A103" s="27">
        <v>2</v>
      </c>
      <c r="B103" s="28" t="s">
        <v>62</v>
      </c>
      <c r="C103" s="29"/>
      <c r="D103" s="30"/>
      <c r="E103" s="28"/>
      <c r="F103" s="29"/>
      <c r="G103" s="29"/>
      <c r="H103" s="29"/>
      <c r="I103" s="29"/>
      <c r="J103" s="29"/>
      <c r="K103" s="29"/>
      <c r="L103" s="29"/>
      <c r="M103" s="29"/>
      <c r="N103" s="30"/>
      <c r="O103" s="28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30"/>
      <c r="AD103" s="31"/>
      <c r="AE103" s="31"/>
      <c r="AF103" s="74">
        <f>Q114+Q127</f>
        <v>18</v>
      </c>
      <c r="AG103" s="31"/>
      <c r="AH103" s="31"/>
      <c r="AI103" s="32"/>
    </row>
    <row r="104" spans="1:35" x14ac:dyDescent="0.25">
      <c r="A104" s="27"/>
      <c r="B104" s="28" t="s">
        <v>59</v>
      </c>
      <c r="C104" s="29"/>
      <c r="D104" s="30"/>
      <c r="E104" s="28"/>
      <c r="F104" s="29"/>
      <c r="G104" s="29"/>
      <c r="H104" s="33">
        <v>0.3</v>
      </c>
      <c r="I104" s="29"/>
      <c r="J104" s="29"/>
      <c r="K104" s="29"/>
      <c r="L104" s="29"/>
      <c r="M104" s="29"/>
      <c r="N104" s="30"/>
      <c r="O104" s="28" t="s">
        <v>66</v>
      </c>
      <c r="P104" s="29"/>
      <c r="Q104" s="29"/>
      <c r="R104" s="29"/>
      <c r="S104" s="29"/>
      <c r="T104" s="29"/>
      <c r="U104" s="29"/>
      <c r="V104" s="29">
        <f>T45</f>
        <v>22</v>
      </c>
      <c r="W104" s="29"/>
      <c r="X104" s="29"/>
      <c r="Y104" s="29"/>
      <c r="Z104" s="29"/>
      <c r="AA104" s="29"/>
      <c r="AB104" s="29"/>
      <c r="AC104" s="30"/>
      <c r="AD104" s="31"/>
      <c r="AE104" s="31"/>
      <c r="AF104" s="31"/>
      <c r="AG104" s="31"/>
      <c r="AH104" s="31"/>
      <c r="AI104" s="32"/>
    </row>
    <row r="105" spans="1:35" x14ac:dyDescent="0.25">
      <c r="A105" s="27"/>
      <c r="B105" s="28"/>
      <c r="C105" s="29"/>
      <c r="D105" s="30"/>
      <c r="E105" s="28"/>
      <c r="F105" s="29"/>
      <c r="G105" s="29"/>
      <c r="H105" s="29"/>
      <c r="I105" s="29"/>
      <c r="J105" s="29"/>
      <c r="K105" s="29"/>
      <c r="L105" s="29"/>
      <c r="M105" s="29"/>
      <c r="N105" s="30"/>
      <c r="O105" s="28" t="s">
        <v>67</v>
      </c>
      <c r="P105" s="29"/>
      <c r="Q105" s="29"/>
      <c r="R105" s="29"/>
      <c r="S105" s="29"/>
      <c r="T105" s="29"/>
      <c r="U105" s="29"/>
      <c r="V105" s="29">
        <f>G113</f>
        <v>0.7</v>
      </c>
      <c r="W105" s="29"/>
      <c r="X105" s="29"/>
      <c r="Y105" s="29"/>
      <c r="Z105" s="29"/>
      <c r="AA105" s="29"/>
      <c r="AB105" s="29"/>
      <c r="AC105" s="30"/>
      <c r="AD105" s="31"/>
      <c r="AE105" s="31"/>
      <c r="AF105" s="31"/>
      <c r="AG105" s="31"/>
      <c r="AH105" s="31"/>
      <c r="AI105" s="32"/>
    </row>
    <row r="106" spans="1:35" x14ac:dyDescent="0.25">
      <c r="A106" s="27"/>
      <c r="B106" s="28"/>
      <c r="C106" s="29"/>
      <c r="D106" s="30"/>
      <c r="E106" s="28"/>
      <c r="F106" s="29"/>
      <c r="G106" s="29"/>
      <c r="H106" s="29"/>
      <c r="I106" s="29"/>
      <c r="J106" s="29"/>
      <c r="K106" s="29"/>
      <c r="L106" s="29"/>
      <c r="M106" s="29"/>
      <c r="N106" s="30"/>
      <c r="O106" s="28" t="s">
        <v>68</v>
      </c>
      <c r="P106" s="29"/>
      <c r="Q106" s="29"/>
      <c r="R106" s="29"/>
      <c r="S106" s="29"/>
      <c r="T106" s="29"/>
      <c r="U106" s="29"/>
      <c r="V106" s="29">
        <f>H104</f>
        <v>0.3</v>
      </c>
      <c r="W106" s="29"/>
      <c r="X106" s="29"/>
      <c r="Y106" s="29"/>
      <c r="Z106" s="29"/>
      <c r="AA106" s="29"/>
      <c r="AB106" s="29"/>
      <c r="AC106" s="30"/>
      <c r="AD106" s="31"/>
      <c r="AE106" s="31"/>
      <c r="AF106" s="31"/>
      <c r="AG106" s="31"/>
      <c r="AH106" s="31"/>
      <c r="AI106" s="32"/>
    </row>
    <row r="107" spans="1:35" x14ac:dyDescent="0.25">
      <c r="A107" s="27"/>
      <c r="B107" s="28"/>
      <c r="C107" s="29"/>
      <c r="D107" s="30"/>
      <c r="E107" s="28"/>
      <c r="F107" s="29"/>
      <c r="G107" s="29"/>
      <c r="H107" s="29"/>
      <c r="I107" s="29"/>
      <c r="J107" s="29"/>
      <c r="K107" s="29"/>
      <c r="L107" s="29"/>
      <c r="M107" s="29"/>
      <c r="N107" s="30"/>
      <c r="O107" s="28" t="s">
        <v>69</v>
      </c>
      <c r="P107" s="29"/>
      <c r="Q107" s="29"/>
      <c r="R107" s="29"/>
      <c r="S107" s="29"/>
      <c r="T107" s="29"/>
      <c r="U107" s="29"/>
      <c r="V107" s="29">
        <f>J108</f>
        <v>0.8</v>
      </c>
      <c r="W107" s="29"/>
      <c r="X107" s="29"/>
      <c r="Y107" s="29"/>
      <c r="Z107" s="29"/>
      <c r="AA107" s="29"/>
      <c r="AB107" s="29"/>
      <c r="AC107" s="30"/>
      <c r="AD107" s="31"/>
      <c r="AE107" s="31"/>
      <c r="AF107" s="31"/>
      <c r="AG107" s="31"/>
      <c r="AH107" s="31"/>
      <c r="AI107" s="32"/>
    </row>
    <row r="108" spans="1:35" x14ac:dyDescent="0.25">
      <c r="A108" s="27"/>
      <c r="B108" s="28"/>
      <c r="C108" s="29"/>
      <c r="D108" s="30"/>
      <c r="E108" s="28"/>
      <c r="F108" s="29"/>
      <c r="G108" s="29"/>
      <c r="H108" s="29"/>
      <c r="I108" s="29"/>
      <c r="J108" s="33">
        <v>0.8</v>
      </c>
      <c r="K108" s="29"/>
      <c r="L108" s="29"/>
      <c r="M108" s="29"/>
      <c r="N108" s="30"/>
      <c r="O108" s="28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30"/>
      <c r="AD108" s="31"/>
      <c r="AE108" s="31"/>
      <c r="AF108" s="31"/>
      <c r="AG108" s="31"/>
      <c r="AH108" s="31"/>
      <c r="AI108" s="32"/>
    </row>
    <row r="109" spans="1:35" x14ac:dyDescent="0.25">
      <c r="A109" s="27"/>
      <c r="B109" s="28"/>
      <c r="C109" s="29"/>
      <c r="D109" s="30"/>
      <c r="E109" s="28"/>
      <c r="F109" s="29"/>
      <c r="G109" s="29"/>
      <c r="H109" s="29"/>
      <c r="I109" s="29"/>
      <c r="J109" s="29"/>
      <c r="K109" s="29"/>
      <c r="L109" s="29"/>
      <c r="M109" s="29"/>
      <c r="N109" s="30"/>
      <c r="O109" s="28" t="s">
        <v>70</v>
      </c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30"/>
      <c r="AD109" s="31"/>
      <c r="AE109" s="31"/>
      <c r="AF109" s="31"/>
      <c r="AG109" s="31"/>
      <c r="AH109" s="31"/>
      <c r="AI109" s="32"/>
    </row>
    <row r="110" spans="1:35" x14ac:dyDescent="0.25">
      <c r="A110" s="27"/>
      <c r="B110" s="28"/>
      <c r="C110" s="29"/>
      <c r="D110" s="30"/>
      <c r="E110" s="28"/>
      <c r="F110" s="29"/>
      <c r="G110" s="29"/>
      <c r="H110" s="29"/>
      <c r="I110" s="29"/>
      <c r="J110" s="29"/>
      <c r="K110" s="29"/>
      <c r="L110" s="29"/>
      <c r="M110" s="29"/>
      <c r="N110" s="30"/>
      <c r="O110" s="28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30"/>
      <c r="AD110" s="31"/>
      <c r="AE110" s="31"/>
      <c r="AF110" s="31"/>
      <c r="AG110" s="31"/>
      <c r="AH110" s="31"/>
      <c r="AI110" s="32"/>
    </row>
    <row r="111" spans="1:35" x14ac:dyDescent="0.25">
      <c r="A111" s="27"/>
      <c r="B111" s="28"/>
      <c r="C111" s="29"/>
      <c r="D111" s="30"/>
      <c r="E111" s="28"/>
      <c r="F111" s="29"/>
      <c r="G111" s="29"/>
      <c r="H111" s="29"/>
      <c r="I111" s="29"/>
      <c r="J111" s="29"/>
      <c r="K111" s="29"/>
      <c r="L111" s="29"/>
      <c r="M111" s="29"/>
      <c r="N111" s="30"/>
      <c r="O111" s="28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30"/>
      <c r="AD111" s="31"/>
      <c r="AE111" s="31"/>
      <c r="AF111" s="31"/>
      <c r="AG111" s="31"/>
      <c r="AH111" s="31"/>
      <c r="AI111" s="32"/>
    </row>
    <row r="112" spans="1:35" x14ac:dyDescent="0.25">
      <c r="A112" s="27"/>
      <c r="B112" s="28"/>
      <c r="C112" s="29"/>
      <c r="D112" s="30"/>
      <c r="E112" s="28"/>
      <c r="F112" s="29"/>
      <c r="G112" s="29"/>
      <c r="H112" s="29"/>
      <c r="I112" s="29"/>
      <c r="J112" s="29"/>
      <c r="K112" s="29"/>
      <c r="L112" s="29"/>
      <c r="M112" s="29"/>
      <c r="N112" s="30"/>
      <c r="O112" s="28"/>
      <c r="P112" s="29" t="s">
        <v>71</v>
      </c>
      <c r="Q112" s="29"/>
      <c r="R112" s="29" t="s">
        <v>17</v>
      </c>
      <c r="S112" s="29">
        <f>((V105+V106)/2)*V107</f>
        <v>0.4</v>
      </c>
      <c r="T112" s="29"/>
      <c r="U112" s="29"/>
      <c r="V112" s="29"/>
      <c r="W112" s="29"/>
      <c r="X112" s="29"/>
      <c r="Y112" s="29"/>
      <c r="Z112" s="29"/>
      <c r="AA112" s="29"/>
      <c r="AB112" s="29"/>
      <c r="AC112" s="30"/>
      <c r="AD112" s="31"/>
      <c r="AE112" s="31"/>
      <c r="AF112" s="31"/>
      <c r="AG112" s="31"/>
      <c r="AH112" s="31"/>
      <c r="AI112" s="32"/>
    </row>
    <row r="113" spans="1:35" x14ac:dyDescent="0.25">
      <c r="A113" s="27"/>
      <c r="B113" s="28"/>
      <c r="C113" s="29"/>
      <c r="D113" s="30"/>
      <c r="E113" s="28"/>
      <c r="F113" s="29"/>
      <c r="G113" s="33">
        <v>0.7</v>
      </c>
      <c r="H113" s="29"/>
      <c r="I113" s="29"/>
      <c r="J113" s="29"/>
      <c r="K113" s="29"/>
      <c r="L113" s="29"/>
      <c r="M113" s="29"/>
      <c r="N113" s="30"/>
      <c r="O113" s="28" t="s">
        <v>70</v>
      </c>
      <c r="P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30"/>
      <c r="AD113" s="31"/>
      <c r="AE113" s="31"/>
      <c r="AF113" s="31"/>
      <c r="AG113" s="31"/>
      <c r="AH113" s="31"/>
      <c r="AI113" s="32"/>
    </row>
    <row r="114" spans="1:35" x14ac:dyDescent="0.25">
      <c r="A114" s="27"/>
      <c r="B114" s="28"/>
      <c r="C114" s="29"/>
      <c r="D114" s="30"/>
      <c r="E114" s="28"/>
      <c r="F114" s="29"/>
      <c r="G114" s="29"/>
      <c r="H114" s="29"/>
      <c r="I114" s="29"/>
      <c r="J114" s="29"/>
      <c r="K114" s="29"/>
      <c r="L114" s="29"/>
      <c r="M114" s="29"/>
      <c r="N114" s="30"/>
      <c r="O114" s="28"/>
      <c r="P114" s="43" t="s">
        <v>29</v>
      </c>
      <c r="Q114" s="29">
        <f>S112*V104</f>
        <v>8.8000000000000007</v>
      </c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30"/>
      <c r="AD114" s="31"/>
      <c r="AE114" s="31"/>
      <c r="AF114" s="31"/>
      <c r="AG114" s="31"/>
      <c r="AH114" s="31"/>
      <c r="AI114" s="32"/>
    </row>
    <row r="115" spans="1:35" x14ac:dyDescent="0.25">
      <c r="A115" s="27"/>
      <c r="B115" s="28"/>
      <c r="C115" s="29"/>
      <c r="D115" s="30"/>
      <c r="E115" s="28"/>
      <c r="F115" s="29"/>
      <c r="G115" s="29"/>
      <c r="H115" s="29"/>
      <c r="I115" s="29"/>
      <c r="J115" s="29"/>
      <c r="K115" s="29"/>
      <c r="L115" s="29"/>
      <c r="M115" s="29"/>
      <c r="N115" s="30"/>
      <c r="O115" s="28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30"/>
      <c r="AD115" s="31"/>
      <c r="AE115" s="31"/>
      <c r="AF115" s="31"/>
      <c r="AG115" s="31"/>
      <c r="AH115" s="31"/>
      <c r="AI115" s="32"/>
    </row>
    <row r="116" spans="1:35" x14ac:dyDescent="0.25">
      <c r="A116" s="27"/>
      <c r="B116" s="28"/>
      <c r="C116" s="29"/>
      <c r="D116" s="30"/>
      <c r="E116" s="28"/>
      <c r="F116" s="29"/>
      <c r="G116" s="29"/>
      <c r="H116" s="29"/>
      <c r="I116" s="29"/>
      <c r="J116" s="29"/>
      <c r="K116" s="29"/>
      <c r="L116" s="29"/>
      <c r="M116" s="29"/>
      <c r="N116" s="30"/>
      <c r="O116" s="28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30"/>
      <c r="AD116" s="31"/>
      <c r="AE116" s="31"/>
      <c r="AF116" s="31"/>
      <c r="AG116" s="31"/>
      <c r="AH116" s="31"/>
      <c r="AI116" s="32"/>
    </row>
    <row r="117" spans="1:35" x14ac:dyDescent="0.25">
      <c r="A117" s="27"/>
      <c r="B117" s="28" t="s">
        <v>63</v>
      </c>
      <c r="C117" s="29"/>
      <c r="D117" s="30"/>
      <c r="E117" s="28"/>
      <c r="F117" s="29"/>
      <c r="G117" s="33">
        <v>0.3</v>
      </c>
      <c r="H117" s="29"/>
      <c r="I117" s="29"/>
      <c r="J117" s="29"/>
      <c r="K117" s="29"/>
      <c r="L117" s="29"/>
      <c r="M117" s="29"/>
      <c r="N117" s="30"/>
      <c r="O117" s="28" t="s">
        <v>73</v>
      </c>
      <c r="P117" s="29"/>
      <c r="Q117" s="29"/>
      <c r="R117" s="29"/>
      <c r="S117" s="29"/>
      <c r="T117" s="29"/>
      <c r="U117" s="29"/>
      <c r="V117" s="29">
        <f>T57</f>
        <v>23</v>
      </c>
      <c r="W117" s="29"/>
      <c r="X117" s="29"/>
      <c r="Y117" s="29"/>
      <c r="Z117" s="29"/>
      <c r="AA117" s="29"/>
      <c r="AB117" s="29"/>
      <c r="AC117" s="30"/>
      <c r="AD117" s="31"/>
      <c r="AE117" s="31"/>
      <c r="AF117" s="31"/>
      <c r="AG117" s="31"/>
      <c r="AH117" s="31"/>
      <c r="AI117" s="32"/>
    </row>
    <row r="118" spans="1:35" x14ac:dyDescent="0.25">
      <c r="A118" s="27"/>
      <c r="B118" s="28"/>
      <c r="C118" s="29"/>
      <c r="D118" s="30"/>
      <c r="E118" s="28"/>
      <c r="F118" s="29"/>
      <c r="G118" s="29"/>
      <c r="H118" s="29"/>
      <c r="I118" s="29"/>
      <c r="J118" s="29"/>
      <c r="K118" s="29"/>
      <c r="L118" s="29"/>
      <c r="M118" s="29"/>
      <c r="N118" s="30"/>
      <c r="O118" s="28" t="s">
        <v>67</v>
      </c>
      <c r="P118" s="29"/>
      <c r="Q118" s="29"/>
      <c r="R118" s="29"/>
      <c r="S118" s="29"/>
      <c r="T118" s="29"/>
      <c r="U118" s="29"/>
      <c r="V118" s="29">
        <f>G127</f>
        <v>0.7</v>
      </c>
      <c r="W118" s="29"/>
      <c r="X118" s="29"/>
      <c r="Y118" s="29"/>
      <c r="Z118" s="29"/>
      <c r="AA118" s="29"/>
      <c r="AB118" s="29"/>
      <c r="AC118" s="30"/>
      <c r="AD118" s="31"/>
      <c r="AE118" s="31"/>
      <c r="AF118" s="31"/>
      <c r="AG118" s="31"/>
      <c r="AH118" s="31"/>
      <c r="AI118" s="32"/>
    </row>
    <row r="119" spans="1:35" x14ac:dyDescent="0.25">
      <c r="A119" s="27"/>
      <c r="B119" s="28"/>
      <c r="C119" s="29"/>
      <c r="D119" s="30"/>
      <c r="E119" s="28"/>
      <c r="F119" s="29"/>
      <c r="G119" s="29"/>
      <c r="H119" s="29"/>
      <c r="I119" s="29"/>
      <c r="J119" s="29"/>
      <c r="K119" s="29"/>
      <c r="L119" s="29"/>
      <c r="M119" s="29"/>
      <c r="N119" s="30"/>
      <c r="O119" s="28" t="s">
        <v>68</v>
      </c>
      <c r="P119" s="29"/>
      <c r="Q119" s="29"/>
      <c r="R119" s="29"/>
      <c r="S119" s="29"/>
      <c r="T119" s="29"/>
      <c r="U119" s="29"/>
      <c r="V119" s="29">
        <f>G117</f>
        <v>0.3</v>
      </c>
      <c r="W119" s="29"/>
      <c r="X119" s="29"/>
      <c r="Y119" s="29"/>
      <c r="Z119" s="29"/>
      <c r="AA119" s="29"/>
      <c r="AB119" s="29"/>
      <c r="AC119" s="30"/>
      <c r="AD119" s="31"/>
      <c r="AE119" s="31"/>
      <c r="AF119" s="31"/>
      <c r="AG119" s="31"/>
      <c r="AH119" s="31"/>
      <c r="AI119" s="32"/>
    </row>
    <row r="120" spans="1:35" x14ac:dyDescent="0.25">
      <c r="A120" s="27"/>
      <c r="B120" s="28"/>
      <c r="C120" s="29"/>
      <c r="D120" s="30"/>
      <c r="E120" s="28"/>
      <c r="F120" s="29"/>
      <c r="G120" s="29"/>
      <c r="H120" s="29"/>
      <c r="I120" s="29"/>
      <c r="J120" s="29"/>
      <c r="K120" s="29"/>
      <c r="L120" s="29"/>
      <c r="M120" s="29"/>
      <c r="N120" s="30"/>
      <c r="O120" s="28" t="s">
        <v>69</v>
      </c>
      <c r="P120" s="29"/>
      <c r="Q120" s="29"/>
      <c r="R120" s="29"/>
      <c r="S120" s="29"/>
      <c r="T120" s="29"/>
      <c r="U120" s="29"/>
      <c r="V120" s="29">
        <f>J122</f>
        <v>0.8</v>
      </c>
      <c r="W120" s="29"/>
      <c r="X120" s="29"/>
      <c r="Y120" s="29"/>
      <c r="Z120" s="29"/>
      <c r="AA120" s="29"/>
      <c r="AB120" s="29"/>
      <c r="AC120" s="30"/>
      <c r="AD120" s="31"/>
      <c r="AE120" s="31"/>
      <c r="AF120" s="31"/>
      <c r="AG120" s="31"/>
      <c r="AH120" s="31"/>
      <c r="AI120" s="32"/>
    </row>
    <row r="121" spans="1:35" x14ac:dyDescent="0.25">
      <c r="A121" s="27"/>
      <c r="B121" s="28"/>
      <c r="C121" s="29"/>
      <c r="D121" s="30"/>
      <c r="E121" s="28"/>
      <c r="F121" s="29"/>
      <c r="G121" s="29"/>
      <c r="H121" s="29"/>
      <c r="I121" s="29"/>
      <c r="J121" s="29"/>
      <c r="K121" s="29"/>
      <c r="L121" s="29"/>
      <c r="M121" s="29"/>
      <c r="N121" s="30"/>
      <c r="O121" s="28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30"/>
      <c r="AD121" s="31"/>
      <c r="AE121" s="31"/>
      <c r="AF121" s="31"/>
      <c r="AG121" s="31"/>
      <c r="AH121" s="31"/>
      <c r="AI121" s="32"/>
    </row>
    <row r="122" spans="1:35" x14ac:dyDescent="0.25">
      <c r="A122" s="27"/>
      <c r="B122" s="28"/>
      <c r="C122" s="29"/>
      <c r="D122" s="30"/>
      <c r="E122" s="28"/>
      <c r="F122" s="29"/>
      <c r="G122" s="29"/>
      <c r="H122" s="29"/>
      <c r="I122" s="29"/>
      <c r="J122" s="33">
        <v>0.8</v>
      </c>
      <c r="K122" s="29"/>
      <c r="L122" s="29"/>
      <c r="M122" s="29"/>
      <c r="N122" s="30"/>
      <c r="O122" s="28" t="s">
        <v>70</v>
      </c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30"/>
      <c r="AD122" s="31"/>
      <c r="AE122" s="31"/>
      <c r="AF122" s="31"/>
      <c r="AG122" s="31"/>
      <c r="AH122" s="31"/>
      <c r="AI122" s="32"/>
    </row>
    <row r="123" spans="1:35" x14ac:dyDescent="0.25">
      <c r="A123" s="27"/>
      <c r="B123" s="28"/>
      <c r="C123" s="29"/>
      <c r="D123" s="30"/>
      <c r="E123" s="28"/>
      <c r="F123" s="29"/>
      <c r="G123" s="29"/>
      <c r="H123" s="29"/>
      <c r="I123" s="29"/>
      <c r="J123" s="29"/>
      <c r="K123" s="29"/>
      <c r="L123" s="29"/>
      <c r="M123" s="29"/>
      <c r="N123" s="30"/>
      <c r="O123" s="28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30"/>
      <c r="AD123" s="31"/>
      <c r="AE123" s="31"/>
      <c r="AF123" s="31"/>
      <c r="AG123" s="31"/>
      <c r="AH123" s="31"/>
      <c r="AI123" s="32"/>
    </row>
    <row r="124" spans="1:35" x14ac:dyDescent="0.25">
      <c r="A124" s="27"/>
      <c r="B124" s="28"/>
      <c r="C124" s="29"/>
      <c r="D124" s="30"/>
      <c r="E124" s="28"/>
      <c r="F124" s="29"/>
      <c r="G124" s="29"/>
      <c r="H124" s="29"/>
      <c r="I124" s="29"/>
      <c r="J124" s="29"/>
      <c r="K124" s="29"/>
      <c r="L124" s="29"/>
      <c r="M124" s="29"/>
      <c r="N124" s="30"/>
      <c r="O124" s="28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30"/>
      <c r="AD124" s="31"/>
      <c r="AE124" s="31"/>
      <c r="AF124" s="31"/>
      <c r="AG124" s="31"/>
      <c r="AH124" s="31"/>
      <c r="AI124" s="32"/>
    </row>
    <row r="125" spans="1:35" x14ac:dyDescent="0.25">
      <c r="A125" s="27"/>
      <c r="B125" s="28"/>
      <c r="C125" s="29"/>
      <c r="D125" s="30"/>
      <c r="E125" s="28"/>
      <c r="F125" s="29"/>
      <c r="G125" s="29"/>
      <c r="H125" s="29"/>
      <c r="I125" s="29"/>
      <c r="J125" s="29"/>
      <c r="K125" s="29"/>
      <c r="L125" s="29"/>
      <c r="M125" s="29"/>
      <c r="N125" s="30"/>
      <c r="O125" s="28"/>
      <c r="P125" s="29" t="s">
        <v>71</v>
      </c>
      <c r="Q125" s="29"/>
      <c r="R125" s="43" t="s">
        <v>17</v>
      </c>
      <c r="S125" s="29">
        <f>((V118+V119)/2)*V120</f>
        <v>0.4</v>
      </c>
      <c r="T125" s="29"/>
      <c r="U125" s="29"/>
      <c r="V125" s="29"/>
      <c r="W125" s="29"/>
      <c r="X125" s="29"/>
      <c r="Y125" s="29"/>
      <c r="Z125" s="29"/>
      <c r="AA125" s="29"/>
      <c r="AB125" s="29"/>
      <c r="AC125" s="30"/>
      <c r="AD125" s="31"/>
      <c r="AE125" s="31"/>
      <c r="AF125" s="31"/>
      <c r="AG125" s="31"/>
      <c r="AH125" s="31"/>
      <c r="AI125" s="32"/>
    </row>
    <row r="126" spans="1:35" x14ac:dyDescent="0.25">
      <c r="A126" s="27"/>
      <c r="B126" s="28"/>
      <c r="C126" s="29"/>
      <c r="D126" s="30"/>
      <c r="E126" s="28"/>
      <c r="F126" s="29"/>
      <c r="G126" s="29"/>
      <c r="H126" s="29"/>
      <c r="I126" s="29"/>
      <c r="J126" s="29"/>
      <c r="K126" s="29"/>
      <c r="L126" s="29"/>
      <c r="M126" s="29"/>
      <c r="N126" s="30"/>
      <c r="O126" s="28" t="s">
        <v>72</v>
      </c>
      <c r="P126" s="29"/>
      <c r="Q126" s="29" t="s">
        <v>74</v>
      </c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30"/>
      <c r="AD126" s="31"/>
      <c r="AE126" s="31"/>
      <c r="AF126" s="31"/>
      <c r="AG126" s="31"/>
      <c r="AH126" s="31"/>
      <c r="AI126" s="32"/>
    </row>
    <row r="127" spans="1:35" x14ac:dyDescent="0.25">
      <c r="A127" s="27"/>
      <c r="B127" s="28"/>
      <c r="C127" s="29"/>
      <c r="D127" s="30"/>
      <c r="E127" s="28"/>
      <c r="F127" s="29"/>
      <c r="G127" s="33">
        <v>0.7</v>
      </c>
      <c r="H127" s="29"/>
      <c r="I127" s="29"/>
      <c r="J127" s="29"/>
      <c r="K127" s="29"/>
      <c r="L127" s="29"/>
      <c r="M127" s="29"/>
      <c r="N127" s="30"/>
      <c r="O127" s="28"/>
      <c r="P127" s="43" t="s">
        <v>29</v>
      </c>
      <c r="Q127" s="29">
        <f>S125*V117</f>
        <v>9.2000000000000011</v>
      </c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30"/>
      <c r="AD127" s="31"/>
      <c r="AE127" s="31"/>
      <c r="AF127" s="31"/>
      <c r="AG127" s="31"/>
      <c r="AH127" s="31"/>
      <c r="AI127" s="32"/>
    </row>
    <row r="128" spans="1:35" ht="15.75" thickBot="1" x14ac:dyDescent="0.3">
      <c r="A128" s="5"/>
      <c r="B128" s="17"/>
      <c r="C128" s="18"/>
      <c r="D128" s="19"/>
      <c r="E128" s="17"/>
      <c r="F128" s="18"/>
      <c r="G128" s="18"/>
      <c r="H128" s="18"/>
      <c r="I128" s="18"/>
      <c r="J128" s="18"/>
      <c r="K128" s="18"/>
      <c r="L128" s="18"/>
      <c r="M128" s="18"/>
      <c r="N128" s="19"/>
      <c r="O128" s="17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9"/>
      <c r="AD128" s="6"/>
      <c r="AE128" s="6"/>
      <c r="AF128" s="6"/>
      <c r="AG128" s="6"/>
      <c r="AH128" s="6"/>
      <c r="AI128" s="7"/>
    </row>
    <row r="129" spans="1:35" ht="15.75" thickTop="1" x14ac:dyDescent="0.25">
      <c r="A129" s="597"/>
      <c r="B129" s="272"/>
      <c r="C129" s="598"/>
      <c r="D129" s="273"/>
      <c r="E129" s="272"/>
      <c r="F129" s="598"/>
      <c r="G129" s="598"/>
      <c r="H129" s="598"/>
      <c r="I129" s="598"/>
      <c r="J129" s="598"/>
      <c r="K129" s="598"/>
      <c r="L129" s="598"/>
      <c r="M129" s="598"/>
      <c r="N129" s="273"/>
      <c r="O129" s="272"/>
      <c r="P129" s="598"/>
      <c r="Q129" s="598"/>
      <c r="R129" s="598"/>
      <c r="S129" s="598"/>
      <c r="T129" s="598"/>
      <c r="U129" s="598"/>
      <c r="V129" s="598"/>
      <c r="W129" s="598"/>
      <c r="X129" s="598"/>
      <c r="Y129" s="598"/>
      <c r="Z129" s="598"/>
      <c r="AA129" s="598"/>
      <c r="AB129" s="598"/>
      <c r="AC129" s="273"/>
      <c r="AD129" s="274"/>
      <c r="AE129" s="274"/>
      <c r="AF129" s="274"/>
      <c r="AG129" s="274"/>
      <c r="AH129" s="274"/>
      <c r="AI129" s="599"/>
    </row>
    <row r="130" spans="1:35" x14ac:dyDescent="0.25">
      <c r="A130" s="27">
        <v>3</v>
      </c>
      <c r="B130" s="28" t="s">
        <v>78</v>
      </c>
      <c r="C130" s="29"/>
      <c r="D130" s="30"/>
      <c r="E130" s="28"/>
      <c r="F130" s="29"/>
      <c r="G130" s="29"/>
      <c r="H130" s="29"/>
      <c r="I130" s="33">
        <v>6</v>
      </c>
      <c r="J130" s="29"/>
      <c r="K130" s="29"/>
      <c r="L130" s="29"/>
      <c r="M130" s="29"/>
      <c r="N130" s="30"/>
      <c r="O130" s="28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30"/>
      <c r="AD130" s="31"/>
      <c r="AE130" s="37">
        <f>AA148+AA171+AA184+AA199+AA213+AA226+AA244</f>
        <v>160.405</v>
      </c>
      <c r="AF130" s="31"/>
      <c r="AG130" s="31"/>
      <c r="AH130" s="31"/>
      <c r="AI130" s="32"/>
    </row>
    <row r="131" spans="1:35" x14ac:dyDescent="0.25">
      <c r="A131" s="27"/>
      <c r="B131" s="28"/>
      <c r="C131" s="29"/>
      <c r="D131" s="30"/>
      <c r="E131" s="28"/>
      <c r="F131" s="29"/>
      <c r="G131" s="29"/>
      <c r="H131" s="29"/>
      <c r="I131" s="29"/>
      <c r="J131" s="29"/>
      <c r="K131" s="29"/>
      <c r="L131" s="29"/>
      <c r="M131" s="29"/>
      <c r="N131" s="30"/>
      <c r="O131" s="28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30"/>
      <c r="AD131" s="31"/>
      <c r="AE131" s="31"/>
      <c r="AF131" s="31"/>
      <c r="AG131" s="31"/>
      <c r="AH131" s="31"/>
      <c r="AI131" s="32"/>
    </row>
    <row r="132" spans="1:35" x14ac:dyDescent="0.25">
      <c r="A132" s="27"/>
      <c r="B132" s="28"/>
      <c r="C132" s="29"/>
      <c r="D132" s="30"/>
      <c r="E132" s="28"/>
      <c r="F132" s="29"/>
      <c r="G132" s="29"/>
      <c r="H132" s="29"/>
      <c r="I132" s="29"/>
      <c r="J132" s="29"/>
      <c r="K132" s="29"/>
      <c r="L132" s="29"/>
      <c r="M132" s="29"/>
      <c r="N132" s="30"/>
      <c r="O132" s="28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30"/>
      <c r="AD132" s="31"/>
      <c r="AE132" s="31"/>
      <c r="AF132" s="31"/>
      <c r="AG132" s="31"/>
      <c r="AH132" s="31"/>
      <c r="AI132" s="32"/>
    </row>
    <row r="133" spans="1:35" x14ac:dyDescent="0.25">
      <c r="A133" s="27"/>
      <c r="B133" s="28"/>
      <c r="C133" s="29"/>
      <c r="D133" s="30"/>
      <c r="E133" s="28"/>
      <c r="F133" s="29"/>
      <c r="G133" s="29"/>
      <c r="H133" s="29"/>
      <c r="I133" s="29"/>
      <c r="J133" s="29"/>
      <c r="K133" s="29"/>
      <c r="L133" s="29"/>
      <c r="M133" s="29"/>
      <c r="N133" s="30"/>
      <c r="O133" s="28"/>
      <c r="P133" s="43"/>
      <c r="Q133" s="29"/>
      <c r="R133" s="38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30"/>
      <c r="AD133" s="31"/>
      <c r="AE133" s="31"/>
      <c r="AF133" s="31"/>
      <c r="AG133" s="31"/>
      <c r="AH133" s="31"/>
      <c r="AI133" s="32"/>
    </row>
    <row r="134" spans="1:35" x14ac:dyDescent="0.25">
      <c r="A134" s="27"/>
      <c r="B134" s="28"/>
      <c r="C134" s="29"/>
      <c r="D134" s="30"/>
      <c r="E134" s="28"/>
      <c r="F134" s="29"/>
      <c r="G134" s="29"/>
      <c r="H134" s="29"/>
      <c r="I134" s="29"/>
      <c r="J134" s="29"/>
      <c r="K134" s="29"/>
      <c r="L134" s="29"/>
      <c r="M134" s="29"/>
      <c r="N134" s="30"/>
      <c r="O134" s="28"/>
      <c r="P134" s="43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30"/>
      <c r="AD134" s="31"/>
      <c r="AE134" s="31"/>
      <c r="AF134" s="31"/>
      <c r="AG134" s="31"/>
      <c r="AH134" s="31"/>
      <c r="AI134" s="32"/>
    </row>
    <row r="135" spans="1:35" x14ac:dyDescent="0.25">
      <c r="A135" s="27"/>
      <c r="B135" s="28"/>
      <c r="C135" s="29"/>
      <c r="D135" s="30"/>
      <c r="E135" s="28"/>
      <c r="F135" s="29"/>
      <c r="G135" s="29"/>
      <c r="H135" s="29"/>
      <c r="I135" s="29"/>
      <c r="J135" s="29"/>
      <c r="K135" s="29"/>
      <c r="L135" s="29"/>
      <c r="M135" s="29"/>
      <c r="N135" s="30"/>
      <c r="O135" s="28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30"/>
      <c r="AD135" s="31"/>
      <c r="AE135" s="31"/>
      <c r="AF135" s="31"/>
      <c r="AG135" s="31"/>
      <c r="AH135" s="31"/>
      <c r="AI135" s="32"/>
    </row>
    <row r="136" spans="1:35" x14ac:dyDescent="0.25">
      <c r="A136" s="27"/>
      <c r="B136" s="28"/>
      <c r="C136" s="29"/>
      <c r="D136" s="30"/>
      <c r="E136" s="53">
        <v>8</v>
      </c>
      <c r="F136" s="29"/>
      <c r="G136" s="29"/>
      <c r="H136" s="29"/>
      <c r="I136" s="29"/>
      <c r="J136" s="29"/>
      <c r="K136" s="29"/>
      <c r="L136" s="33">
        <v>1.8</v>
      </c>
      <c r="M136" s="29"/>
      <c r="N136" s="30"/>
      <c r="O136" s="28"/>
      <c r="P136" s="43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30"/>
      <c r="AD136" s="31"/>
      <c r="AE136" s="31"/>
      <c r="AF136" s="31"/>
      <c r="AG136" s="31"/>
      <c r="AH136" s="31"/>
      <c r="AI136" s="32"/>
    </row>
    <row r="137" spans="1:35" x14ac:dyDescent="0.25">
      <c r="A137" s="27"/>
      <c r="B137" s="28"/>
      <c r="C137" s="29"/>
      <c r="D137" s="30"/>
      <c r="E137" s="53">
        <v>9</v>
      </c>
      <c r="F137" s="29"/>
      <c r="G137" s="29"/>
      <c r="H137" s="29"/>
      <c r="I137" s="29"/>
      <c r="J137" s="29"/>
      <c r="K137" s="29"/>
      <c r="L137" s="29"/>
      <c r="M137" s="33">
        <v>8.5</v>
      </c>
      <c r="N137" s="30"/>
      <c r="O137" s="28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30"/>
      <c r="AD137" s="31"/>
      <c r="AE137" s="31"/>
      <c r="AF137" s="31"/>
      <c r="AG137" s="31"/>
      <c r="AH137" s="31"/>
      <c r="AI137" s="32"/>
    </row>
    <row r="138" spans="1:35" x14ac:dyDescent="0.25">
      <c r="A138" s="27"/>
      <c r="B138" s="28"/>
      <c r="C138" s="29"/>
      <c r="D138" s="30"/>
      <c r="E138" s="28"/>
      <c r="F138" s="29"/>
      <c r="G138" s="29"/>
      <c r="H138" s="29"/>
      <c r="I138" s="29"/>
      <c r="J138" s="29"/>
      <c r="K138" s="29"/>
      <c r="L138" s="29"/>
      <c r="M138" s="29"/>
      <c r="N138" s="30"/>
      <c r="O138" s="28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30"/>
      <c r="AD138" s="31"/>
      <c r="AE138" s="31"/>
      <c r="AF138" s="31"/>
      <c r="AG138" s="31"/>
      <c r="AH138" s="31"/>
      <c r="AI138" s="32"/>
    </row>
    <row r="139" spans="1:35" x14ac:dyDescent="0.25">
      <c r="A139" s="27"/>
      <c r="B139" s="28"/>
      <c r="C139" s="29"/>
      <c r="D139" s="30"/>
      <c r="E139" s="28"/>
      <c r="F139" s="29"/>
      <c r="G139" s="29"/>
      <c r="H139" s="29"/>
      <c r="I139" s="29"/>
      <c r="J139" s="29"/>
      <c r="K139" s="29"/>
      <c r="L139" s="29"/>
      <c r="M139" s="29"/>
      <c r="N139" s="30"/>
      <c r="O139" s="28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30"/>
      <c r="AD139" s="31"/>
      <c r="AE139" s="31"/>
      <c r="AF139" s="31"/>
      <c r="AG139" s="31"/>
      <c r="AH139" s="31"/>
      <c r="AI139" s="32"/>
    </row>
    <row r="140" spans="1:35" x14ac:dyDescent="0.25">
      <c r="A140" s="27"/>
      <c r="B140" s="28"/>
      <c r="C140" s="29"/>
      <c r="D140" s="30"/>
      <c r="E140" s="28"/>
      <c r="F140" s="29"/>
      <c r="G140" s="29"/>
      <c r="H140" s="29"/>
      <c r="I140" s="29"/>
      <c r="J140" s="29"/>
      <c r="K140" s="29"/>
      <c r="L140" s="29"/>
      <c r="M140" s="29"/>
      <c r="N140" s="30"/>
      <c r="O140" s="28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30"/>
      <c r="AD140" s="31"/>
      <c r="AE140" s="31"/>
      <c r="AF140" s="31"/>
      <c r="AG140" s="31"/>
      <c r="AH140" s="31"/>
      <c r="AI140" s="32"/>
    </row>
    <row r="141" spans="1:35" x14ac:dyDescent="0.25">
      <c r="A141" s="27"/>
      <c r="B141" s="28"/>
      <c r="C141" s="29"/>
      <c r="D141" s="30"/>
      <c r="E141" s="28"/>
      <c r="F141" s="29"/>
      <c r="G141" s="29"/>
      <c r="H141" s="29"/>
      <c r="I141" s="29"/>
      <c r="J141" s="29"/>
      <c r="K141" s="29"/>
      <c r="L141" s="29"/>
      <c r="M141" s="29"/>
      <c r="N141" s="30"/>
      <c r="O141" s="28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30"/>
      <c r="AD141" s="31"/>
      <c r="AE141" s="31"/>
      <c r="AF141" s="31"/>
      <c r="AG141" s="31"/>
      <c r="AH141" s="31"/>
      <c r="AI141" s="32"/>
    </row>
    <row r="142" spans="1:35" x14ac:dyDescent="0.25">
      <c r="A142" s="27"/>
      <c r="B142" s="28"/>
      <c r="C142" s="29"/>
      <c r="D142" s="30"/>
      <c r="E142" s="28"/>
      <c r="F142" s="29"/>
      <c r="G142" s="29"/>
      <c r="H142" s="29"/>
      <c r="I142" s="29"/>
      <c r="J142" s="29"/>
      <c r="K142" s="29"/>
      <c r="L142" s="29"/>
      <c r="M142" s="29"/>
      <c r="N142" s="30"/>
      <c r="O142" s="28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30"/>
      <c r="AD142" s="31"/>
      <c r="AE142" s="31"/>
      <c r="AF142" s="31"/>
      <c r="AG142" s="31"/>
      <c r="AH142" s="31"/>
      <c r="AI142" s="32"/>
    </row>
    <row r="143" spans="1:35" x14ac:dyDescent="0.25">
      <c r="A143" s="27"/>
      <c r="B143" s="28"/>
      <c r="C143" s="29"/>
      <c r="D143" s="30"/>
      <c r="E143" s="28"/>
      <c r="F143" s="29"/>
      <c r="G143" s="29"/>
      <c r="H143" s="29"/>
      <c r="I143" s="29"/>
      <c r="J143" s="29"/>
      <c r="K143" s="29"/>
      <c r="L143" s="29"/>
      <c r="M143" s="29"/>
      <c r="N143" s="30"/>
      <c r="O143" s="28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30"/>
      <c r="AD143" s="31"/>
      <c r="AE143" s="31"/>
      <c r="AF143" s="31"/>
      <c r="AG143" s="31"/>
      <c r="AH143" s="31"/>
      <c r="AI143" s="32"/>
    </row>
    <row r="144" spans="1:35" x14ac:dyDescent="0.25">
      <c r="A144" s="27"/>
      <c r="B144" s="28"/>
      <c r="C144" s="29"/>
      <c r="D144" s="30"/>
      <c r="E144" s="28"/>
      <c r="F144" s="29"/>
      <c r="G144" s="29"/>
      <c r="H144" s="29"/>
      <c r="I144" s="29"/>
      <c r="J144" s="29"/>
      <c r="K144" s="29"/>
      <c r="L144" s="29"/>
      <c r="M144" s="29"/>
      <c r="N144" s="30"/>
      <c r="O144" s="28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30"/>
      <c r="AD144" s="31"/>
      <c r="AE144" s="31"/>
      <c r="AF144" s="31"/>
      <c r="AG144" s="31"/>
      <c r="AH144" s="31"/>
      <c r="AI144" s="32"/>
    </row>
    <row r="145" spans="1:35" x14ac:dyDescent="0.25">
      <c r="A145" s="27"/>
      <c r="B145" s="28"/>
      <c r="C145" s="29"/>
      <c r="D145" s="30"/>
      <c r="E145" s="28"/>
      <c r="F145" s="29"/>
      <c r="G145" s="29"/>
      <c r="H145" s="29"/>
      <c r="I145" s="33">
        <v>6</v>
      </c>
      <c r="J145" s="29"/>
      <c r="K145" s="29"/>
      <c r="L145" s="29"/>
      <c r="M145" s="29"/>
      <c r="N145" s="30"/>
      <c r="O145" s="28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30"/>
      <c r="AD145" s="31"/>
      <c r="AE145" s="31"/>
      <c r="AF145" s="31"/>
      <c r="AG145" s="31"/>
      <c r="AH145" s="31"/>
      <c r="AI145" s="32"/>
    </row>
    <row r="146" spans="1:35" x14ac:dyDescent="0.25">
      <c r="A146" s="27"/>
      <c r="B146" s="28"/>
      <c r="C146" s="29"/>
      <c r="D146" s="30"/>
      <c r="E146" s="28"/>
      <c r="F146" s="29"/>
      <c r="G146" s="29"/>
      <c r="H146" s="29"/>
      <c r="I146" s="29"/>
      <c r="J146" s="29"/>
      <c r="K146" s="29"/>
      <c r="L146" s="29"/>
      <c r="M146" s="29"/>
      <c r="N146" s="30"/>
      <c r="O146" s="28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30"/>
      <c r="AD146" s="31"/>
      <c r="AE146" s="31"/>
      <c r="AF146" s="31"/>
      <c r="AG146" s="31"/>
      <c r="AH146" s="31"/>
      <c r="AI146" s="32"/>
    </row>
    <row r="147" spans="1:35" x14ac:dyDescent="0.25">
      <c r="A147" s="27"/>
      <c r="B147" s="28"/>
      <c r="C147" s="29"/>
      <c r="D147" s="30"/>
      <c r="E147" s="28"/>
      <c r="F147" s="29"/>
      <c r="G147" s="29"/>
      <c r="H147" s="29"/>
      <c r="I147" s="29"/>
      <c r="J147" s="29"/>
      <c r="K147" s="29"/>
      <c r="L147" s="29"/>
      <c r="M147" s="29"/>
      <c r="N147" s="30"/>
      <c r="O147" s="28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30"/>
      <c r="AD147" s="31"/>
      <c r="AE147" s="31"/>
      <c r="AF147" s="31"/>
      <c r="AG147" s="31"/>
      <c r="AH147" s="31"/>
      <c r="AI147" s="32"/>
    </row>
    <row r="148" spans="1:35" x14ac:dyDescent="0.25">
      <c r="A148" s="27"/>
      <c r="B148" s="28"/>
      <c r="C148" s="29"/>
      <c r="D148" s="30"/>
      <c r="E148" s="28"/>
      <c r="F148" s="29"/>
      <c r="G148" s="29"/>
      <c r="H148" s="29"/>
      <c r="I148" s="29"/>
      <c r="J148" s="29"/>
      <c r="K148" s="29"/>
      <c r="L148" s="29"/>
      <c r="M148" s="29"/>
      <c r="N148" s="30"/>
      <c r="O148" s="28" t="s">
        <v>79</v>
      </c>
      <c r="P148" s="29" t="s">
        <v>80</v>
      </c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57">
        <f>Q168</f>
        <v>17.37</v>
      </c>
      <c r="AB148" s="29" t="s">
        <v>82</v>
      </c>
      <c r="AC148" s="30"/>
      <c r="AD148" s="31"/>
      <c r="AE148" s="31"/>
      <c r="AF148" s="31"/>
      <c r="AG148" s="31"/>
      <c r="AH148" s="31"/>
      <c r="AI148" s="32"/>
    </row>
    <row r="149" spans="1:35" x14ac:dyDescent="0.25">
      <c r="A149" s="27"/>
      <c r="B149" s="28"/>
      <c r="C149" s="29"/>
      <c r="D149" s="30"/>
      <c r="E149" s="28"/>
      <c r="F149" s="29"/>
      <c r="G149" s="29"/>
      <c r="H149" s="29"/>
      <c r="I149" s="29"/>
      <c r="J149" s="29"/>
      <c r="K149" s="29"/>
      <c r="L149" s="29"/>
      <c r="M149" s="29"/>
      <c r="N149" s="30"/>
      <c r="O149" s="28"/>
      <c r="P149" s="29" t="s">
        <v>81</v>
      </c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30"/>
      <c r="AD149" s="31"/>
      <c r="AE149" s="31"/>
      <c r="AF149" s="31"/>
      <c r="AG149" s="31"/>
      <c r="AH149" s="31"/>
      <c r="AI149" s="32"/>
    </row>
    <row r="150" spans="1:35" x14ac:dyDescent="0.25">
      <c r="A150" s="27"/>
      <c r="B150" s="28"/>
      <c r="C150" s="29"/>
      <c r="D150" s="30"/>
      <c r="E150" s="28"/>
      <c r="F150" s="29"/>
      <c r="G150" s="29"/>
      <c r="H150" s="29"/>
      <c r="I150" s="29"/>
      <c r="J150" s="29"/>
      <c r="K150" s="29"/>
      <c r="L150" s="29"/>
      <c r="M150" s="29"/>
      <c r="N150" s="30"/>
      <c r="O150" s="28"/>
      <c r="P150" s="43" t="s">
        <v>17</v>
      </c>
      <c r="Q150" s="29">
        <f>H160</f>
        <v>3</v>
      </c>
      <c r="R150" s="38" t="s">
        <v>16</v>
      </c>
      <c r="S150" s="29">
        <f>E153</f>
        <v>3.7</v>
      </c>
      <c r="T150" s="29"/>
      <c r="U150" s="29"/>
      <c r="V150" s="29"/>
      <c r="W150" s="29"/>
      <c r="X150" s="29"/>
      <c r="Y150" s="29"/>
      <c r="Z150" s="29"/>
      <c r="AA150" s="29"/>
      <c r="AB150" s="29"/>
      <c r="AC150" s="30"/>
      <c r="AD150" s="31"/>
      <c r="AE150" s="31"/>
      <c r="AF150" s="31"/>
      <c r="AG150" s="31"/>
      <c r="AH150" s="31"/>
      <c r="AI150" s="32"/>
    </row>
    <row r="151" spans="1:35" x14ac:dyDescent="0.25">
      <c r="A151" s="27"/>
      <c r="B151" s="28"/>
      <c r="C151" s="29"/>
      <c r="D151" s="30"/>
      <c r="E151" s="28"/>
      <c r="F151" s="29"/>
      <c r="G151" s="29"/>
      <c r="H151" s="29"/>
      <c r="I151" s="29"/>
      <c r="J151" s="29"/>
      <c r="K151" s="29"/>
      <c r="L151" s="29"/>
      <c r="M151" s="29"/>
      <c r="N151" s="30"/>
      <c r="O151" s="28"/>
      <c r="P151" s="43" t="s">
        <v>17</v>
      </c>
      <c r="Q151" s="29">
        <f>Q150*S150</f>
        <v>11.100000000000001</v>
      </c>
      <c r="R151" s="29" t="s">
        <v>82</v>
      </c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30"/>
      <c r="AD151" s="31"/>
      <c r="AE151" s="31"/>
      <c r="AF151" s="31"/>
      <c r="AG151" s="31"/>
      <c r="AH151" s="31"/>
      <c r="AI151" s="32"/>
    </row>
    <row r="152" spans="1:35" x14ac:dyDescent="0.25">
      <c r="A152" s="27"/>
      <c r="B152" s="28"/>
      <c r="C152" s="29"/>
      <c r="D152" s="30"/>
      <c r="E152" s="28"/>
      <c r="F152" s="29"/>
      <c r="G152" s="29"/>
      <c r="H152" s="29"/>
      <c r="I152" s="29"/>
      <c r="J152" s="29"/>
      <c r="K152" s="29"/>
      <c r="L152" s="29"/>
      <c r="M152" s="29"/>
      <c r="N152" s="30"/>
      <c r="O152" s="28"/>
      <c r="P152" s="29" t="s">
        <v>83</v>
      </c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30"/>
      <c r="AD152" s="31"/>
      <c r="AE152" s="31"/>
      <c r="AF152" s="31"/>
      <c r="AG152" s="31"/>
      <c r="AH152" s="31"/>
      <c r="AI152" s="32"/>
    </row>
    <row r="153" spans="1:35" x14ac:dyDescent="0.25">
      <c r="A153" s="27"/>
      <c r="B153" s="28"/>
      <c r="C153" s="29"/>
      <c r="D153" s="30"/>
      <c r="E153" s="54">
        <v>3.7</v>
      </c>
      <c r="F153" s="29"/>
      <c r="G153" s="29"/>
      <c r="H153" s="29"/>
      <c r="I153" s="29"/>
      <c r="J153" s="29"/>
      <c r="K153" s="29"/>
      <c r="L153" s="29"/>
      <c r="M153" s="56">
        <v>3.4</v>
      </c>
      <c r="N153" s="30"/>
      <c r="O153" s="28"/>
      <c r="P153" s="43" t="s">
        <v>17</v>
      </c>
      <c r="Q153" s="29">
        <f>J160</f>
        <v>3</v>
      </c>
      <c r="R153" s="38" t="s">
        <v>16</v>
      </c>
      <c r="S153" s="29">
        <f>M153</f>
        <v>3.4</v>
      </c>
      <c r="T153" s="29"/>
      <c r="U153" s="29"/>
      <c r="V153" s="29"/>
      <c r="W153" s="29"/>
      <c r="X153" s="29"/>
      <c r="Y153" s="29"/>
      <c r="Z153" s="29"/>
      <c r="AA153" s="29"/>
      <c r="AB153" s="29"/>
      <c r="AC153" s="30"/>
      <c r="AD153" s="31"/>
      <c r="AE153" s="31"/>
      <c r="AF153" s="31"/>
      <c r="AG153" s="31"/>
      <c r="AH153" s="31"/>
      <c r="AI153" s="32"/>
    </row>
    <row r="154" spans="1:35" x14ac:dyDescent="0.25">
      <c r="A154" s="27"/>
      <c r="B154" s="28"/>
      <c r="C154" s="29"/>
      <c r="D154" s="30"/>
      <c r="E154" s="28"/>
      <c r="F154" s="29"/>
      <c r="G154" s="29"/>
      <c r="H154" s="29"/>
      <c r="I154" s="29"/>
      <c r="J154" s="29"/>
      <c r="K154" s="29"/>
      <c r="L154" s="29"/>
      <c r="M154" s="29"/>
      <c r="N154" s="30"/>
      <c r="O154" s="28"/>
      <c r="P154" s="43" t="s">
        <v>17</v>
      </c>
      <c r="Q154" s="29">
        <f>Q153*S153</f>
        <v>10.199999999999999</v>
      </c>
      <c r="R154" s="29" t="s">
        <v>82</v>
      </c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30"/>
      <c r="AD154" s="31"/>
      <c r="AE154" s="31"/>
      <c r="AF154" s="31"/>
      <c r="AG154" s="31"/>
      <c r="AH154" s="31"/>
      <c r="AI154" s="32"/>
    </row>
    <row r="155" spans="1:35" x14ac:dyDescent="0.25">
      <c r="A155" s="27"/>
      <c r="B155" s="28"/>
      <c r="C155" s="29"/>
      <c r="D155" s="30"/>
      <c r="E155" s="28"/>
      <c r="F155" s="29"/>
      <c r="G155" s="29"/>
      <c r="H155" s="29"/>
      <c r="I155" s="29"/>
      <c r="J155" s="29"/>
      <c r="K155" s="29"/>
      <c r="L155" s="29"/>
      <c r="M155" s="29"/>
      <c r="N155" s="30"/>
      <c r="O155" s="28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30"/>
      <c r="AD155" s="31"/>
      <c r="AE155" s="31"/>
      <c r="AF155" s="31"/>
      <c r="AG155" s="31"/>
      <c r="AH155" s="31"/>
      <c r="AI155" s="32"/>
    </row>
    <row r="156" spans="1:35" x14ac:dyDescent="0.25">
      <c r="A156" s="27"/>
      <c r="B156" s="28"/>
      <c r="C156" s="29"/>
      <c r="D156" s="30"/>
      <c r="E156" s="28"/>
      <c r="F156" s="29"/>
      <c r="G156" s="29"/>
      <c r="H156" s="29"/>
      <c r="I156" s="29"/>
      <c r="J156" s="29"/>
      <c r="K156" s="29"/>
      <c r="L156" s="29"/>
      <c r="M156" s="29"/>
      <c r="N156" s="30"/>
      <c r="O156" s="28"/>
      <c r="P156" s="29" t="s">
        <v>84</v>
      </c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30"/>
      <c r="AD156" s="31"/>
      <c r="AE156" s="31"/>
      <c r="AF156" s="31"/>
      <c r="AG156" s="31"/>
      <c r="AH156" s="31"/>
      <c r="AI156" s="32"/>
    </row>
    <row r="157" spans="1:35" x14ac:dyDescent="0.25">
      <c r="A157" s="27"/>
      <c r="B157" s="28"/>
      <c r="C157" s="29"/>
      <c r="D157" s="30"/>
      <c r="E157" s="28"/>
      <c r="F157" s="29"/>
      <c r="G157" s="29"/>
      <c r="H157" s="29"/>
      <c r="I157" s="29"/>
      <c r="J157" s="29"/>
      <c r="K157" s="29"/>
      <c r="L157" s="29"/>
      <c r="M157" s="29"/>
      <c r="N157" s="30"/>
      <c r="O157" s="28"/>
      <c r="P157" s="29" t="s">
        <v>85</v>
      </c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30"/>
      <c r="AD157" s="31"/>
      <c r="AE157" s="31"/>
      <c r="AF157" s="31"/>
      <c r="AG157" s="31"/>
      <c r="AH157" s="31"/>
      <c r="AI157" s="32"/>
    </row>
    <row r="158" spans="1:35" x14ac:dyDescent="0.25">
      <c r="A158" s="27"/>
      <c r="B158" s="28"/>
      <c r="C158" s="29"/>
      <c r="D158" s="30"/>
      <c r="E158" s="28"/>
      <c r="F158" s="29"/>
      <c r="G158" s="29"/>
      <c r="H158" s="29"/>
      <c r="I158" s="29"/>
      <c r="J158" s="29"/>
      <c r="K158" s="29"/>
      <c r="L158" s="29"/>
      <c r="M158" s="29"/>
      <c r="N158" s="30"/>
      <c r="O158" s="28"/>
      <c r="P158" s="43" t="s">
        <v>17</v>
      </c>
      <c r="Q158" s="58">
        <v>1</v>
      </c>
      <c r="R158" s="38" t="s">
        <v>16</v>
      </c>
      <c r="S158" s="58">
        <v>1.2</v>
      </c>
      <c r="T158" s="29"/>
      <c r="U158" s="29"/>
      <c r="V158" s="29"/>
      <c r="W158" s="29"/>
      <c r="X158" s="29"/>
      <c r="Y158" s="29"/>
      <c r="Z158" s="29"/>
      <c r="AA158" s="29"/>
      <c r="AB158" s="29"/>
      <c r="AC158" s="30"/>
      <c r="AD158" s="31"/>
      <c r="AE158" s="31"/>
      <c r="AF158" s="31"/>
      <c r="AG158" s="31"/>
      <c r="AH158" s="31"/>
      <c r="AI158" s="32"/>
    </row>
    <row r="159" spans="1:35" x14ac:dyDescent="0.25">
      <c r="A159" s="27"/>
      <c r="B159" s="28"/>
      <c r="C159" s="29"/>
      <c r="D159" s="30"/>
      <c r="E159" s="28"/>
      <c r="F159" s="29"/>
      <c r="G159" s="29"/>
      <c r="H159" s="29"/>
      <c r="I159" s="29"/>
      <c r="J159" s="29"/>
      <c r="K159" s="29"/>
      <c r="L159" s="29"/>
      <c r="M159" s="29"/>
      <c r="N159" s="30"/>
      <c r="O159" s="28"/>
      <c r="P159" s="43" t="s">
        <v>17</v>
      </c>
      <c r="Q159" s="29">
        <f>Q158*S158</f>
        <v>1.2</v>
      </c>
      <c r="R159" s="29" t="s">
        <v>82</v>
      </c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30"/>
      <c r="AD159" s="31"/>
      <c r="AE159" s="31"/>
      <c r="AF159" s="31"/>
      <c r="AG159" s="31"/>
      <c r="AH159" s="31"/>
      <c r="AI159" s="32"/>
    </row>
    <row r="160" spans="1:35" x14ac:dyDescent="0.25">
      <c r="A160" s="27"/>
      <c r="B160" s="28"/>
      <c r="C160" s="29"/>
      <c r="D160" s="30"/>
      <c r="E160" s="28"/>
      <c r="F160" s="29"/>
      <c r="G160" s="29"/>
      <c r="H160" s="55">
        <v>3</v>
      </c>
      <c r="I160" s="29"/>
      <c r="J160" s="55">
        <v>3</v>
      </c>
      <c r="K160" s="29"/>
      <c r="L160" s="29"/>
      <c r="M160" s="29"/>
      <c r="N160" s="30"/>
      <c r="O160" s="28"/>
      <c r="P160" s="29" t="s">
        <v>86</v>
      </c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30"/>
      <c r="AD160" s="31"/>
      <c r="AE160" s="31"/>
      <c r="AF160" s="31"/>
      <c r="AG160" s="31"/>
      <c r="AH160" s="31"/>
      <c r="AI160" s="32"/>
    </row>
    <row r="161" spans="1:35" x14ac:dyDescent="0.25">
      <c r="A161" s="27"/>
      <c r="B161" s="28"/>
      <c r="C161" s="29"/>
      <c r="D161" s="30"/>
      <c r="E161" s="28"/>
      <c r="F161" s="29"/>
      <c r="G161" s="29"/>
      <c r="H161" s="29"/>
      <c r="I161" s="29"/>
      <c r="J161" s="29"/>
      <c r="K161" s="29"/>
      <c r="L161" s="29"/>
      <c r="M161" s="29"/>
      <c r="N161" s="30"/>
      <c r="O161" s="28"/>
      <c r="P161" s="43" t="s">
        <v>17</v>
      </c>
      <c r="Q161" s="58">
        <v>0.9</v>
      </c>
      <c r="R161" s="38" t="s">
        <v>16</v>
      </c>
      <c r="S161" s="58">
        <v>2.1</v>
      </c>
      <c r="T161" s="29"/>
      <c r="U161" s="29"/>
      <c r="V161" s="29"/>
      <c r="W161" s="29"/>
      <c r="X161" s="29"/>
      <c r="Y161" s="29"/>
      <c r="Z161" s="29"/>
      <c r="AA161" s="29"/>
      <c r="AB161" s="29"/>
      <c r="AC161" s="30"/>
      <c r="AD161" s="31"/>
      <c r="AE161" s="31"/>
      <c r="AF161" s="31"/>
      <c r="AG161" s="31"/>
      <c r="AH161" s="31"/>
      <c r="AI161" s="32"/>
    </row>
    <row r="162" spans="1:35" x14ac:dyDescent="0.25">
      <c r="A162" s="27"/>
      <c r="B162" s="28"/>
      <c r="C162" s="29"/>
      <c r="D162" s="30"/>
      <c r="E162" s="28"/>
      <c r="F162" s="29"/>
      <c r="G162" s="29"/>
      <c r="H162" s="29"/>
      <c r="I162" s="29"/>
      <c r="J162" s="29"/>
      <c r="K162" s="29"/>
      <c r="L162" s="29"/>
      <c r="M162" s="29"/>
      <c r="N162" s="30"/>
      <c r="O162" s="28"/>
      <c r="P162" s="43" t="s">
        <v>17</v>
      </c>
      <c r="Q162" s="29">
        <f>Q161*S161</f>
        <v>1.8900000000000001</v>
      </c>
      <c r="R162" s="29" t="s">
        <v>82</v>
      </c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30"/>
      <c r="AD162" s="31"/>
      <c r="AE162" s="31"/>
      <c r="AF162" s="31"/>
      <c r="AG162" s="31"/>
      <c r="AH162" s="31"/>
      <c r="AI162" s="32"/>
    </row>
    <row r="163" spans="1:35" x14ac:dyDescent="0.25">
      <c r="A163" s="27"/>
      <c r="B163" s="28"/>
      <c r="C163" s="29"/>
      <c r="D163" s="30"/>
      <c r="E163" s="28"/>
      <c r="F163" s="29"/>
      <c r="G163" s="29"/>
      <c r="H163" s="29"/>
      <c r="I163" s="29"/>
      <c r="J163" s="29"/>
      <c r="K163" s="29"/>
      <c r="L163" s="29"/>
      <c r="M163" s="29"/>
      <c r="N163" s="30"/>
      <c r="O163" s="28"/>
      <c r="P163" s="29" t="s">
        <v>87</v>
      </c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30"/>
      <c r="AD163" s="31"/>
      <c r="AE163" s="31"/>
      <c r="AF163" s="31"/>
      <c r="AG163" s="31"/>
      <c r="AH163" s="31"/>
      <c r="AI163" s="32"/>
    </row>
    <row r="164" spans="1:35" x14ac:dyDescent="0.25">
      <c r="A164" s="27"/>
      <c r="B164" s="28"/>
      <c r="C164" s="29"/>
      <c r="D164" s="30"/>
      <c r="E164" s="28"/>
      <c r="F164" s="29"/>
      <c r="G164" s="29"/>
      <c r="H164" s="29"/>
      <c r="I164" s="29"/>
      <c r="J164" s="29"/>
      <c r="K164" s="29"/>
      <c r="L164" s="29"/>
      <c r="M164" s="29"/>
      <c r="N164" s="30"/>
      <c r="O164" s="28"/>
      <c r="P164" s="43" t="s">
        <v>17</v>
      </c>
      <c r="Q164" s="58">
        <v>0.7</v>
      </c>
      <c r="R164" s="38" t="s">
        <v>16</v>
      </c>
      <c r="S164" s="58">
        <v>1.2</v>
      </c>
      <c r="T164" s="29"/>
      <c r="U164" s="29"/>
      <c r="V164" s="29"/>
      <c r="W164" s="29"/>
      <c r="X164" s="29"/>
      <c r="Y164" s="29"/>
      <c r="Z164" s="29"/>
      <c r="AA164" s="29"/>
      <c r="AB164" s="29"/>
      <c r="AC164" s="30"/>
      <c r="AD164" s="31"/>
      <c r="AE164" s="31"/>
      <c r="AF164" s="31"/>
      <c r="AG164" s="31"/>
      <c r="AH164" s="31"/>
      <c r="AI164" s="32"/>
    </row>
    <row r="165" spans="1:35" x14ac:dyDescent="0.25">
      <c r="A165" s="27"/>
      <c r="B165" s="28"/>
      <c r="C165" s="29"/>
      <c r="D165" s="30"/>
      <c r="E165" s="28"/>
      <c r="F165" s="29"/>
      <c r="G165" s="29"/>
      <c r="H165" s="29"/>
      <c r="I165" s="29"/>
      <c r="J165" s="29"/>
      <c r="K165" s="29"/>
      <c r="L165" s="29"/>
      <c r="M165" s="29"/>
      <c r="N165" s="30"/>
      <c r="O165" s="28"/>
      <c r="P165" s="43" t="s">
        <v>17</v>
      </c>
      <c r="Q165" s="29">
        <f>Q164*S164</f>
        <v>0.84</v>
      </c>
      <c r="R165" s="29" t="s">
        <v>82</v>
      </c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30"/>
      <c r="AD165" s="31"/>
      <c r="AE165" s="31"/>
      <c r="AF165" s="31"/>
      <c r="AG165" s="31"/>
      <c r="AH165" s="31"/>
      <c r="AI165" s="32"/>
    </row>
    <row r="166" spans="1:35" x14ac:dyDescent="0.25">
      <c r="A166" s="27"/>
      <c r="B166" s="28"/>
      <c r="C166" s="29"/>
      <c r="D166" s="30"/>
      <c r="E166" s="28"/>
      <c r="F166" s="29"/>
      <c r="G166" s="29"/>
      <c r="H166" s="29"/>
      <c r="I166" s="29"/>
      <c r="J166" s="29"/>
      <c r="K166" s="29"/>
      <c r="L166" s="29"/>
      <c r="M166" s="29"/>
      <c r="N166" s="30"/>
      <c r="O166" s="28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30"/>
      <c r="AD166" s="31"/>
      <c r="AE166" s="31"/>
      <c r="AF166" s="31"/>
      <c r="AG166" s="31"/>
      <c r="AH166" s="31"/>
      <c r="AI166" s="32"/>
    </row>
    <row r="167" spans="1:35" x14ac:dyDescent="0.25">
      <c r="A167" s="27"/>
      <c r="B167" s="28"/>
      <c r="C167" s="29"/>
      <c r="D167" s="30"/>
      <c r="E167" s="28"/>
      <c r="F167" s="29"/>
      <c r="G167" s="29"/>
      <c r="H167" s="29"/>
      <c r="I167" s="29"/>
      <c r="J167" s="29"/>
      <c r="K167" s="29"/>
      <c r="L167" s="29"/>
      <c r="M167" s="29"/>
      <c r="N167" s="30"/>
      <c r="O167" s="28"/>
      <c r="P167" s="29" t="s">
        <v>90</v>
      </c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30"/>
      <c r="AD167" s="31"/>
      <c r="AE167" s="31"/>
      <c r="AF167" s="31"/>
      <c r="AG167" s="31"/>
      <c r="AH167" s="31"/>
      <c r="AI167" s="32"/>
    </row>
    <row r="168" spans="1:35" x14ac:dyDescent="0.25">
      <c r="A168" s="27"/>
      <c r="B168" s="28"/>
      <c r="C168" s="29"/>
      <c r="D168" s="30"/>
      <c r="E168" s="28"/>
      <c r="F168" s="29"/>
      <c r="G168" s="29"/>
      <c r="H168" s="29"/>
      <c r="I168" s="29"/>
      <c r="J168" s="29"/>
      <c r="K168" s="29"/>
      <c r="L168" s="29"/>
      <c r="M168" s="29"/>
      <c r="N168" s="30"/>
      <c r="O168" s="14"/>
      <c r="P168" s="59" t="s">
        <v>17</v>
      </c>
      <c r="Q168" s="15">
        <f>Q151+Q154-Q159-Q162-Q165</f>
        <v>17.37</v>
      </c>
      <c r="R168" s="15" t="s">
        <v>82</v>
      </c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30"/>
      <c r="AD168" s="31"/>
      <c r="AE168" s="31"/>
      <c r="AF168" s="31"/>
      <c r="AG168" s="31"/>
      <c r="AH168" s="31"/>
      <c r="AI168" s="32"/>
    </row>
    <row r="169" spans="1:35" ht="15.75" thickBot="1" x14ac:dyDescent="0.3">
      <c r="A169" s="5"/>
      <c r="B169" s="17"/>
      <c r="C169" s="18"/>
      <c r="D169" s="19"/>
      <c r="E169" s="17"/>
      <c r="F169" s="18"/>
      <c r="G169" s="18"/>
      <c r="H169" s="18"/>
      <c r="I169" s="18"/>
      <c r="J169" s="18"/>
      <c r="K169" s="18"/>
      <c r="L169" s="18"/>
      <c r="M169" s="18"/>
      <c r="N169" s="19"/>
      <c r="O169" s="17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9"/>
      <c r="AD169" s="6"/>
      <c r="AE169" s="6"/>
      <c r="AF169" s="6"/>
      <c r="AG169" s="6"/>
      <c r="AH169" s="6"/>
      <c r="AI169" s="7"/>
    </row>
    <row r="170" spans="1:35" ht="15.75" thickTop="1" x14ac:dyDescent="0.25">
      <c r="A170" s="597"/>
      <c r="B170" s="272"/>
      <c r="C170" s="598"/>
      <c r="D170" s="273"/>
      <c r="E170" s="272"/>
      <c r="F170" s="598"/>
      <c r="G170" s="598"/>
      <c r="H170" s="598"/>
      <c r="I170" s="598"/>
      <c r="J170" s="598"/>
      <c r="K170" s="598"/>
      <c r="L170" s="598"/>
      <c r="M170" s="598"/>
      <c r="N170" s="273"/>
      <c r="O170" s="272"/>
      <c r="P170" s="598"/>
      <c r="Q170" s="598"/>
      <c r="R170" s="598"/>
      <c r="S170" s="598"/>
      <c r="T170" s="598"/>
      <c r="U170" s="598"/>
      <c r="V170" s="598"/>
      <c r="W170" s="598"/>
      <c r="X170" s="598"/>
      <c r="Y170" s="598"/>
      <c r="Z170" s="598"/>
      <c r="AA170" s="598"/>
      <c r="AB170" s="598"/>
      <c r="AC170" s="273"/>
      <c r="AD170" s="274"/>
      <c r="AE170" s="274"/>
      <c r="AF170" s="274"/>
      <c r="AG170" s="274"/>
      <c r="AH170" s="274"/>
      <c r="AI170" s="599"/>
    </row>
    <row r="171" spans="1:35" x14ac:dyDescent="0.25">
      <c r="A171" s="27"/>
      <c r="B171" s="28"/>
      <c r="C171" s="29"/>
      <c r="D171" s="30"/>
      <c r="E171" s="28"/>
      <c r="F171" s="29"/>
      <c r="G171" s="29"/>
      <c r="H171" s="29"/>
      <c r="I171" s="29"/>
      <c r="J171" s="29"/>
      <c r="K171" s="29"/>
      <c r="L171" s="29"/>
      <c r="M171" s="29"/>
      <c r="N171" s="30"/>
      <c r="O171" s="28" t="s">
        <v>88</v>
      </c>
      <c r="P171" s="29" t="s">
        <v>89</v>
      </c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57">
        <f>Q179</f>
        <v>21.3</v>
      </c>
      <c r="AB171" s="29" t="s">
        <v>82</v>
      </c>
      <c r="AC171" s="30"/>
      <c r="AD171" s="31"/>
      <c r="AE171" s="31"/>
      <c r="AF171" s="31"/>
      <c r="AG171" s="31"/>
      <c r="AH171" s="31"/>
      <c r="AI171" s="32"/>
    </row>
    <row r="172" spans="1:35" x14ac:dyDescent="0.25">
      <c r="A172" s="27"/>
      <c r="B172" s="28"/>
      <c r="C172" s="29"/>
      <c r="D172" s="30"/>
      <c r="E172" s="28"/>
      <c r="F172" s="29"/>
      <c r="G172" s="29"/>
      <c r="H172" s="29"/>
      <c r="I172" s="29"/>
      <c r="J172" s="29"/>
      <c r="K172" s="29"/>
      <c r="L172" s="29"/>
      <c r="M172" s="29"/>
      <c r="N172" s="30"/>
      <c r="O172" s="28"/>
      <c r="P172" s="29" t="s">
        <v>81</v>
      </c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30"/>
      <c r="AD172" s="31"/>
      <c r="AE172" s="31"/>
      <c r="AF172" s="31"/>
      <c r="AG172" s="31"/>
      <c r="AH172" s="31"/>
      <c r="AI172" s="32"/>
    </row>
    <row r="173" spans="1:35" x14ac:dyDescent="0.25">
      <c r="A173" s="27"/>
      <c r="B173" s="28"/>
      <c r="C173" s="29"/>
      <c r="D173" s="30"/>
      <c r="E173" s="28"/>
      <c r="F173" s="29"/>
      <c r="G173" s="29"/>
      <c r="H173" s="29"/>
      <c r="I173" s="29"/>
      <c r="J173" s="29"/>
      <c r="K173" s="29"/>
      <c r="L173" s="29"/>
      <c r="M173" s="29"/>
      <c r="N173" s="30"/>
      <c r="O173" s="28"/>
      <c r="P173" s="43" t="s">
        <v>17</v>
      </c>
      <c r="Q173" s="29">
        <f>H181</f>
        <v>3</v>
      </c>
      <c r="R173" s="38" t="s">
        <v>16</v>
      </c>
      <c r="S173" s="29">
        <f>E174</f>
        <v>3.4</v>
      </c>
      <c r="T173" s="29"/>
      <c r="U173" s="29"/>
      <c r="V173" s="29"/>
      <c r="W173" s="29"/>
      <c r="X173" s="29"/>
      <c r="Y173" s="29"/>
      <c r="Z173" s="29"/>
      <c r="AA173" s="29"/>
      <c r="AB173" s="29"/>
      <c r="AC173" s="30"/>
      <c r="AD173" s="31"/>
      <c r="AE173" s="31"/>
      <c r="AF173" s="31"/>
      <c r="AG173" s="31"/>
      <c r="AH173" s="31"/>
      <c r="AI173" s="32"/>
    </row>
    <row r="174" spans="1:35" x14ac:dyDescent="0.25">
      <c r="A174" s="27"/>
      <c r="B174" s="28"/>
      <c r="C174" s="29"/>
      <c r="D174" s="30"/>
      <c r="E174" s="28">
        <v>3.4</v>
      </c>
      <c r="F174" s="29"/>
      <c r="G174" s="29"/>
      <c r="H174" s="29"/>
      <c r="I174" s="29"/>
      <c r="J174" s="29"/>
      <c r="K174" s="29"/>
      <c r="L174" s="29"/>
      <c r="M174" s="29">
        <v>3.7</v>
      </c>
      <c r="N174" s="30"/>
      <c r="O174" s="28"/>
      <c r="P174" s="43" t="s">
        <v>17</v>
      </c>
      <c r="Q174" s="29">
        <f>Q173*S173</f>
        <v>10.199999999999999</v>
      </c>
      <c r="R174" s="29" t="s">
        <v>82</v>
      </c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30"/>
      <c r="AD174" s="31"/>
      <c r="AE174" s="31"/>
      <c r="AF174" s="31"/>
      <c r="AG174" s="31"/>
      <c r="AH174" s="31"/>
      <c r="AI174" s="32"/>
    </row>
    <row r="175" spans="1:35" x14ac:dyDescent="0.25">
      <c r="A175" s="27"/>
      <c r="B175" s="28"/>
      <c r="C175" s="29"/>
      <c r="D175" s="30"/>
      <c r="E175" s="28"/>
      <c r="F175" s="29"/>
      <c r="G175" s="29"/>
      <c r="H175" s="29"/>
      <c r="I175" s="29"/>
      <c r="J175" s="29"/>
      <c r="K175" s="29"/>
      <c r="L175" s="29"/>
      <c r="M175" s="29"/>
      <c r="N175" s="30"/>
      <c r="O175" s="28"/>
      <c r="P175" s="29" t="s">
        <v>83</v>
      </c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30"/>
      <c r="AD175" s="31"/>
      <c r="AE175" s="31"/>
      <c r="AF175" s="31"/>
      <c r="AG175" s="31"/>
      <c r="AH175" s="31"/>
      <c r="AI175" s="32"/>
    </row>
    <row r="176" spans="1:35" x14ac:dyDescent="0.25">
      <c r="A176" s="27"/>
      <c r="B176" s="28"/>
      <c r="C176" s="29"/>
      <c r="D176" s="30"/>
      <c r="E176" s="28"/>
      <c r="F176" s="29"/>
      <c r="G176" s="29"/>
      <c r="H176" s="29"/>
      <c r="I176" s="29"/>
      <c r="J176" s="29"/>
      <c r="K176" s="29"/>
      <c r="L176" s="29"/>
      <c r="M176" s="29"/>
      <c r="N176" s="30"/>
      <c r="O176" s="28"/>
      <c r="P176" s="43" t="s">
        <v>17</v>
      </c>
      <c r="Q176" s="29">
        <f>J181</f>
        <v>3</v>
      </c>
      <c r="R176" s="38" t="s">
        <v>16</v>
      </c>
      <c r="S176" s="29">
        <f>M174</f>
        <v>3.7</v>
      </c>
      <c r="T176" s="29"/>
      <c r="U176" s="29"/>
      <c r="V176" s="29"/>
      <c r="W176" s="29"/>
      <c r="X176" s="29"/>
      <c r="Y176" s="29"/>
      <c r="Z176" s="29"/>
      <c r="AA176" s="29"/>
      <c r="AB176" s="29"/>
      <c r="AC176" s="30"/>
      <c r="AD176" s="31"/>
      <c r="AE176" s="31"/>
      <c r="AF176" s="31"/>
      <c r="AG176" s="31"/>
      <c r="AH176" s="31"/>
      <c r="AI176" s="32"/>
    </row>
    <row r="177" spans="1:35" x14ac:dyDescent="0.25">
      <c r="A177" s="27"/>
      <c r="B177" s="28"/>
      <c r="C177" s="29"/>
      <c r="D177" s="30"/>
      <c r="E177" s="28"/>
      <c r="F177" s="29"/>
      <c r="G177" s="29"/>
      <c r="H177" s="29"/>
      <c r="I177" s="29"/>
      <c r="J177" s="29"/>
      <c r="K177" s="29"/>
      <c r="L177" s="29"/>
      <c r="M177" s="29"/>
      <c r="N177" s="30"/>
      <c r="O177" s="28"/>
      <c r="P177" s="43" t="s">
        <v>17</v>
      </c>
      <c r="Q177" s="29">
        <f>Q176*S176</f>
        <v>11.100000000000001</v>
      </c>
      <c r="R177" s="29" t="s">
        <v>82</v>
      </c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30"/>
      <c r="AD177" s="31"/>
      <c r="AE177" s="31"/>
      <c r="AF177" s="31"/>
      <c r="AG177" s="31"/>
      <c r="AH177" s="31"/>
      <c r="AI177" s="32"/>
    </row>
    <row r="178" spans="1:35" x14ac:dyDescent="0.25">
      <c r="A178" s="27"/>
      <c r="B178" s="28"/>
      <c r="C178" s="29"/>
      <c r="D178" s="30"/>
      <c r="E178" s="28"/>
      <c r="F178" s="29"/>
      <c r="G178" s="29"/>
      <c r="H178" s="29"/>
      <c r="I178" s="29"/>
      <c r="J178" s="29"/>
      <c r="K178" s="29"/>
      <c r="L178" s="29"/>
      <c r="M178" s="29"/>
      <c r="N178" s="30"/>
      <c r="O178" s="28"/>
      <c r="P178" s="29" t="s">
        <v>1874</v>
      </c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30"/>
      <c r="AD178" s="31"/>
      <c r="AE178" s="31"/>
      <c r="AF178" s="31"/>
      <c r="AG178" s="31"/>
      <c r="AH178" s="31"/>
      <c r="AI178" s="32"/>
    </row>
    <row r="179" spans="1:35" x14ac:dyDescent="0.25">
      <c r="A179" s="27"/>
      <c r="B179" s="28"/>
      <c r="C179" s="29"/>
      <c r="D179" s="30"/>
      <c r="E179" s="28"/>
      <c r="F179" s="29"/>
      <c r="G179" s="29"/>
      <c r="H179" s="29"/>
      <c r="I179" s="29"/>
      <c r="J179" s="29"/>
      <c r="K179" s="29"/>
      <c r="L179" s="29"/>
      <c r="M179" s="29"/>
      <c r="N179" s="30"/>
      <c r="O179" s="28"/>
      <c r="P179" s="43" t="s">
        <v>17</v>
      </c>
      <c r="Q179" s="29">
        <f>Q174+Q177-0</f>
        <v>21.3</v>
      </c>
      <c r="R179" s="29" t="s">
        <v>82</v>
      </c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30"/>
      <c r="AD179" s="31"/>
      <c r="AE179" s="31"/>
      <c r="AF179" s="31"/>
      <c r="AG179" s="31"/>
      <c r="AH179" s="31"/>
      <c r="AI179" s="32"/>
    </row>
    <row r="180" spans="1:35" x14ac:dyDescent="0.25">
      <c r="A180" s="27"/>
      <c r="B180" s="28"/>
      <c r="C180" s="29"/>
      <c r="D180" s="30"/>
      <c r="E180" s="28"/>
      <c r="F180" s="29"/>
      <c r="G180" s="29"/>
      <c r="H180" s="29"/>
      <c r="I180" s="29"/>
      <c r="J180" s="29"/>
      <c r="K180" s="29"/>
      <c r="L180" s="29"/>
      <c r="M180" s="29"/>
      <c r="N180" s="30"/>
      <c r="O180" s="28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30"/>
      <c r="AD180" s="31"/>
      <c r="AE180" s="31"/>
      <c r="AF180" s="31"/>
      <c r="AG180" s="31"/>
      <c r="AH180" s="31"/>
      <c r="AI180" s="32"/>
    </row>
    <row r="181" spans="1:35" x14ac:dyDescent="0.25">
      <c r="A181" s="27"/>
      <c r="B181" s="28"/>
      <c r="C181" s="29"/>
      <c r="D181" s="30"/>
      <c r="E181" s="28"/>
      <c r="F181" s="29"/>
      <c r="G181" s="29"/>
      <c r="H181" s="29">
        <v>3</v>
      </c>
      <c r="I181" s="29"/>
      <c r="J181" s="29">
        <v>3</v>
      </c>
      <c r="K181" s="29"/>
      <c r="L181" s="29"/>
      <c r="M181" s="29"/>
      <c r="N181" s="30"/>
      <c r="O181" s="28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30"/>
      <c r="AD181" s="31"/>
      <c r="AE181" s="31"/>
      <c r="AF181" s="31"/>
      <c r="AG181" s="31"/>
      <c r="AH181" s="31"/>
      <c r="AI181" s="32"/>
    </row>
    <row r="182" spans="1:35" x14ac:dyDescent="0.25">
      <c r="A182" s="27"/>
      <c r="B182" s="28"/>
      <c r="C182" s="29"/>
      <c r="D182" s="30"/>
      <c r="E182" s="28"/>
      <c r="F182" s="29"/>
      <c r="G182" s="29"/>
      <c r="H182" s="29"/>
      <c r="I182" s="29"/>
      <c r="J182" s="29"/>
      <c r="K182" s="29"/>
      <c r="L182" s="29"/>
      <c r="M182" s="29"/>
      <c r="N182" s="30"/>
      <c r="O182" s="28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30"/>
      <c r="AD182" s="31"/>
      <c r="AE182" s="31"/>
      <c r="AF182" s="31"/>
      <c r="AG182" s="31"/>
      <c r="AH182" s="31"/>
      <c r="AI182" s="32"/>
    </row>
    <row r="183" spans="1:35" x14ac:dyDescent="0.25">
      <c r="A183" s="27"/>
      <c r="B183" s="28"/>
      <c r="C183" s="29"/>
      <c r="D183" s="30"/>
      <c r="E183" s="28"/>
      <c r="F183" s="29"/>
      <c r="G183" s="29"/>
      <c r="H183" s="29"/>
      <c r="I183" s="29"/>
      <c r="J183" s="29"/>
      <c r="K183" s="29"/>
      <c r="L183" s="29"/>
      <c r="M183" s="29"/>
      <c r="N183" s="30"/>
      <c r="O183" s="28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30"/>
      <c r="AD183" s="31"/>
      <c r="AE183" s="31"/>
      <c r="AF183" s="31"/>
      <c r="AG183" s="31"/>
      <c r="AH183" s="31"/>
      <c r="AI183" s="32"/>
    </row>
    <row r="184" spans="1:35" x14ac:dyDescent="0.25">
      <c r="A184" s="27"/>
      <c r="B184" s="28"/>
      <c r="C184" s="29"/>
      <c r="D184" s="30"/>
      <c r="E184" s="28"/>
      <c r="F184" s="29"/>
      <c r="G184" s="29"/>
      <c r="H184" s="29"/>
      <c r="I184" s="29"/>
      <c r="J184" s="29"/>
      <c r="K184" s="29"/>
      <c r="L184" s="29"/>
      <c r="M184" s="29"/>
      <c r="N184" s="30"/>
      <c r="O184" s="28" t="s">
        <v>91</v>
      </c>
      <c r="P184" s="29" t="s">
        <v>92</v>
      </c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57">
        <f>Q192</f>
        <v>43.650000000000006</v>
      </c>
      <c r="AB184" s="29" t="s">
        <v>82</v>
      </c>
      <c r="AC184" s="30"/>
      <c r="AD184" s="31"/>
      <c r="AE184" s="31"/>
      <c r="AF184" s="31"/>
      <c r="AG184" s="31"/>
      <c r="AH184" s="31"/>
      <c r="AI184" s="32"/>
    </row>
    <row r="185" spans="1:35" x14ac:dyDescent="0.25">
      <c r="A185" s="27"/>
      <c r="B185" s="28"/>
      <c r="C185" s="29"/>
      <c r="D185" s="30"/>
      <c r="E185" s="28"/>
      <c r="F185" s="29"/>
      <c r="G185" s="29"/>
      <c r="H185" s="29"/>
      <c r="I185" s="29"/>
      <c r="J185" s="29"/>
      <c r="K185" s="29"/>
      <c r="L185" s="29"/>
      <c r="M185" s="29"/>
      <c r="N185" s="30"/>
      <c r="O185" s="28"/>
      <c r="P185" s="29" t="s">
        <v>81</v>
      </c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0"/>
      <c r="AD185" s="31"/>
      <c r="AE185" s="31"/>
      <c r="AF185" s="31"/>
      <c r="AG185" s="31"/>
      <c r="AH185" s="31"/>
      <c r="AI185" s="32"/>
    </row>
    <row r="186" spans="1:35" x14ac:dyDescent="0.25">
      <c r="A186" s="27"/>
      <c r="B186" s="28"/>
      <c r="C186" s="29"/>
      <c r="D186" s="30"/>
      <c r="E186" s="28"/>
      <c r="F186" s="29"/>
      <c r="G186" s="29"/>
      <c r="H186" s="29"/>
      <c r="I186" s="29"/>
      <c r="J186" s="29"/>
      <c r="K186" s="29"/>
      <c r="L186" s="29"/>
      <c r="M186" s="58">
        <v>2.2999999999999998</v>
      </c>
      <c r="N186" s="30"/>
      <c r="O186" s="28"/>
      <c r="P186" s="43" t="s">
        <v>17</v>
      </c>
      <c r="Q186" s="29">
        <f>I196</f>
        <v>9</v>
      </c>
      <c r="R186" s="38" t="s">
        <v>16</v>
      </c>
      <c r="S186" s="29">
        <f>M190</f>
        <v>3.7</v>
      </c>
      <c r="T186" s="29"/>
      <c r="U186" s="29"/>
      <c r="V186" s="29"/>
      <c r="W186" s="29"/>
      <c r="X186" s="29"/>
      <c r="Y186" s="29"/>
      <c r="Z186" s="29"/>
      <c r="AA186" s="29"/>
      <c r="AB186" s="29"/>
      <c r="AC186" s="30"/>
      <c r="AD186" s="31"/>
      <c r="AE186" s="31"/>
      <c r="AF186" s="31"/>
      <c r="AG186" s="31"/>
      <c r="AH186" s="31"/>
      <c r="AI186" s="32"/>
    </row>
    <row r="187" spans="1:35" x14ac:dyDescent="0.25">
      <c r="A187" s="27"/>
      <c r="B187" s="28"/>
      <c r="C187" s="29"/>
      <c r="D187" s="30"/>
      <c r="E187" s="28"/>
      <c r="F187" s="29"/>
      <c r="G187" s="29"/>
      <c r="H187" s="29"/>
      <c r="I187" s="29"/>
      <c r="J187" s="29"/>
      <c r="K187" s="29"/>
      <c r="L187" s="29"/>
      <c r="M187" s="29"/>
      <c r="N187" s="30"/>
      <c r="O187" s="28"/>
      <c r="P187" s="43" t="s">
        <v>17</v>
      </c>
      <c r="Q187" s="29">
        <f>Q186*S186</f>
        <v>33.300000000000004</v>
      </c>
      <c r="R187" s="29" t="s">
        <v>82</v>
      </c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30"/>
      <c r="AD187" s="31"/>
      <c r="AE187" s="31"/>
      <c r="AF187" s="31"/>
      <c r="AG187" s="31"/>
      <c r="AH187" s="31"/>
      <c r="AI187" s="32"/>
    </row>
    <row r="188" spans="1:35" x14ac:dyDescent="0.25">
      <c r="A188" s="27"/>
      <c r="B188" s="28"/>
      <c r="C188" s="29"/>
      <c r="D188" s="30"/>
      <c r="E188" s="28"/>
      <c r="F188" s="29"/>
      <c r="G188" s="29"/>
      <c r="H188" s="29"/>
      <c r="I188" s="29"/>
      <c r="J188" s="29"/>
      <c r="K188" s="29"/>
      <c r="L188" s="29"/>
      <c r="M188" s="29"/>
      <c r="N188" s="30"/>
      <c r="O188" s="28"/>
      <c r="P188" s="29" t="s">
        <v>93</v>
      </c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30"/>
      <c r="AD188" s="31"/>
      <c r="AE188" s="31"/>
      <c r="AF188" s="31"/>
      <c r="AG188" s="31"/>
      <c r="AH188" s="31"/>
      <c r="AI188" s="32"/>
    </row>
    <row r="189" spans="1:35" x14ac:dyDescent="0.25">
      <c r="A189" s="27"/>
      <c r="B189" s="28"/>
      <c r="C189" s="29"/>
      <c r="D189" s="30"/>
      <c r="E189" s="28"/>
      <c r="F189" s="29"/>
      <c r="G189" s="29"/>
      <c r="H189" s="29"/>
      <c r="I189" s="29"/>
      <c r="J189" s="29"/>
      <c r="K189" s="29"/>
      <c r="L189" s="29"/>
      <c r="M189" s="29"/>
      <c r="N189" s="30"/>
      <c r="O189" s="28"/>
      <c r="P189" s="43" t="s">
        <v>17</v>
      </c>
      <c r="Q189" s="29">
        <f>1/2</f>
        <v>0.5</v>
      </c>
      <c r="R189" s="38" t="s">
        <v>16</v>
      </c>
      <c r="S189" s="29">
        <f>I196</f>
        <v>9</v>
      </c>
      <c r="T189" s="38" t="s">
        <v>16</v>
      </c>
      <c r="U189" s="29">
        <f>M186</f>
        <v>2.2999999999999998</v>
      </c>
      <c r="V189" s="29"/>
      <c r="W189" s="29"/>
      <c r="X189" s="29"/>
      <c r="Y189" s="29"/>
      <c r="Z189" s="29"/>
      <c r="AA189" s="29"/>
      <c r="AB189" s="29"/>
      <c r="AC189" s="30"/>
      <c r="AD189" s="31"/>
      <c r="AE189" s="31"/>
      <c r="AF189" s="31"/>
      <c r="AG189" s="31"/>
      <c r="AH189" s="31"/>
      <c r="AI189" s="32"/>
    </row>
    <row r="190" spans="1:35" x14ac:dyDescent="0.25">
      <c r="A190" s="27"/>
      <c r="B190" s="28"/>
      <c r="C190" s="29"/>
      <c r="D190" s="30"/>
      <c r="E190" s="28"/>
      <c r="F190" s="29"/>
      <c r="G190" s="29"/>
      <c r="H190" s="29"/>
      <c r="I190" s="29"/>
      <c r="J190" s="29"/>
      <c r="K190" s="29"/>
      <c r="L190" s="29"/>
      <c r="M190" s="58">
        <v>3.7</v>
      </c>
      <c r="N190" s="30"/>
      <c r="O190" s="28"/>
      <c r="P190" s="43" t="s">
        <v>17</v>
      </c>
      <c r="Q190" s="29">
        <f>Q189*S189*U189</f>
        <v>10.35</v>
      </c>
      <c r="R190" s="29" t="s">
        <v>82</v>
      </c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30"/>
      <c r="AD190" s="31"/>
      <c r="AE190" s="31"/>
      <c r="AF190" s="31"/>
      <c r="AG190" s="31"/>
      <c r="AH190" s="31"/>
      <c r="AI190" s="32"/>
    </row>
    <row r="191" spans="1:35" x14ac:dyDescent="0.25">
      <c r="A191" s="27"/>
      <c r="B191" s="28"/>
      <c r="C191" s="29"/>
      <c r="D191" s="30"/>
      <c r="E191" s="28"/>
      <c r="F191" s="29"/>
      <c r="G191" s="29"/>
      <c r="H191" s="29"/>
      <c r="I191" s="29"/>
      <c r="J191" s="29"/>
      <c r="K191" s="29"/>
      <c r="L191" s="29"/>
      <c r="M191" s="29"/>
      <c r="N191" s="30"/>
      <c r="O191" s="28"/>
      <c r="P191" s="29" t="s">
        <v>97</v>
      </c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30"/>
      <c r="AD191" s="31"/>
      <c r="AE191" s="31"/>
      <c r="AF191" s="31"/>
      <c r="AG191" s="31"/>
      <c r="AH191" s="31"/>
      <c r="AI191" s="32"/>
    </row>
    <row r="192" spans="1:35" x14ac:dyDescent="0.25">
      <c r="A192" s="27"/>
      <c r="B192" s="28"/>
      <c r="C192" s="29"/>
      <c r="D192" s="30"/>
      <c r="E192" s="28"/>
      <c r="F192" s="29"/>
      <c r="G192" s="29"/>
      <c r="H192" s="29"/>
      <c r="I192" s="29"/>
      <c r="J192" s="29"/>
      <c r="K192" s="29"/>
      <c r="L192" s="29"/>
      <c r="M192" s="29"/>
      <c r="N192" s="30"/>
      <c r="O192" s="28"/>
      <c r="P192" s="43" t="s">
        <v>17</v>
      </c>
      <c r="Q192" s="29">
        <f>Q187+Q190</f>
        <v>43.650000000000006</v>
      </c>
      <c r="R192" s="29" t="s">
        <v>82</v>
      </c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30"/>
      <c r="AD192" s="31"/>
      <c r="AE192" s="31"/>
      <c r="AF192" s="31"/>
      <c r="AG192" s="31"/>
      <c r="AH192" s="31"/>
      <c r="AI192" s="32"/>
    </row>
    <row r="193" spans="1:35" x14ac:dyDescent="0.25">
      <c r="A193" s="27"/>
      <c r="B193" s="28"/>
      <c r="C193" s="29"/>
      <c r="D193" s="30"/>
      <c r="E193" s="28"/>
      <c r="F193" s="29"/>
      <c r="G193" s="29"/>
      <c r="H193" s="29"/>
      <c r="I193" s="29"/>
      <c r="J193" s="29"/>
      <c r="K193" s="29"/>
      <c r="L193" s="29"/>
      <c r="M193" s="29"/>
      <c r="N193" s="30"/>
      <c r="O193" s="28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30"/>
      <c r="AD193" s="31"/>
      <c r="AE193" s="31"/>
      <c r="AF193" s="31"/>
      <c r="AG193" s="31"/>
      <c r="AH193" s="31"/>
      <c r="AI193" s="32"/>
    </row>
    <row r="194" spans="1:35" x14ac:dyDescent="0.25">
      <c r="A194" s="27"/>
      <c r="B194" s="28"/>
      <c r="C194" s="29"/>
      <c r="D194" s="30"/>
      <c r="E194" s="28"/>
      <c r="F194" s="29"/>
      <c r="G194" s="29"/>
      <c r="H194" s="29"/>
      <c r="I194" s="29"/>
      <c r="J194" s="29"/>
      <c r="K194" s="29"/>
      <c r="L194" s="29"/>
      <c r="M194" s="29"/>
      <c r="N194" s="30"/>
      <c r="O194" s="28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30"/>
      <c r="AD194" s="31"/>
      <c r="AE194" s="31"/>
      <c r="AF194" s="31"/>
      <c r="AG194" s="31"/>
      <c r="AH194" s="31"/>
      <c r="AI194" s="32"/>
    </row>
    <row r="195" spans="1:35" x14ac:dyDescent="0.25">
      <c r="A195" s="27"/>
      <c r="B195" s="28"/>
      <c r="C195" s="29"/>
      <c r="D195" s="30"/>
      <c r="E195" s="28"/>
      <c r="F195" s="29"/>
      <c r="G195" s="29"/>
      <c r="H195" s="29"/>
      <c r="I195" s="29"/>
      <c r="J195" s="29"/>
      <c r="K195" s="29"/>
      <c r="L195" s="29"/>
      <c r="M195" s="29"/>
      <c r="N195" s="30"/>
      <c r="O195" s="28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30"/>
      <c r="AD195" s="31"/>
      <c r="AE195" s="31"/>
      <c r="AF195" s="31"/>
      <c r="AG195" s="31"/>
      <c r="AH195" s="31"/>
      <c r="AI195" s="32"/>
    </row>
    <row r="196" spans="1:35" x14ac:dyDescent="0.25">
      <c r="A196" s="27"/>
      <c r="B196" s="28"/>
      <c r="C196" s="29"/>
      <c r="D196" s="30"/>
      <c r="E196" s="28"/>
      <c r="F196" s="29"/>
      <c r="G196" s="29"/>
      <c r="H196" s="29"/>
      <c r="I196" s="58">
        <v>9</v>
      </c>
      <c r="J196" s="29"/>
      <c r="K196" s="29"/>
      <c r="L196" s="29"/>
      <c r="M196" s="29"/>
      <c r="N196" s="30"/>
      <c r="O196" s="28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30"/>
      <c r="AD196" s="31"/>
      <c r="AE196" s="31"/>
      <c r="AF196" s="31"/>
      <c r="AG196" s="31"/>
      <c r="AH196" s="31"/>
      <c r="AI196" s="32"/>
    </row>
    <row r="197" spans="1:35" x14ac:dyDescent="0.25">
      <c r="A197" s="27"/>
      <c r="B197" s="28"/>
      <c r="C197" s="29"/>
      <c r="D197" s="30"/>
      <c r="E197" s="28"/>
      <c r="F197" s="29"/>
      <c r="G197" s="29"/>
      <c r="H197" s="29"/>
      <c r="I197" s="29"/>
      <c r="J197" s="29"/>
      <c r="K197" s="29"/>
      <c r="L197" s="29"/>
      <c r="M197" s="29"/>
      <c r="N197" s="30"/>
      <c r="O197" s="28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30"/>
      <c r="AD197" s="31"/>
      <c r="AE197" s="31"/>
      <c r="AF197" s="31"/>
      <c r="AG197" s="31"/>
      <c r="AH197" s="31"/>
      <c r="AI197" s="32"/>
    </row>
    <row r="198" spans="1:35" x14ac:dyDescent="0.25">
      <c r="A198" s="27"/>
      <c r="B198" s="28"/>
      <c r="C198" s="29"/>
      <c r="D198" s="30"/>
      <c r="E198" s="28"/>
      <c r="F198" s="29"/>
      <c r="G198" s="29"/>
      <c r="H198" s="29"/>
      <c r="I198" s="29"/>
      <c r="J198" s="29"/>
      <c r="K198" s="29"/>
      <c r="L198" s="29"/>
      <c r="M198" s="29"/>
      <c r="N198" s="30"/>
      <c r="O198" s="28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30"/>
      <c r="AD198" s="31"/>
      <c r="AE198" s="31"/>
      <c r="AF198" s="31"/>
      <c r="AG198" s="31"/>
      <c r="AH198" s="31"/>
      <c r="AI198" s="32"/>
    </row>
    <row r="199" spans="1:35" x14ac:dyDescent="0.25">
      <c r="A199" s="27"/>
      <c r="B199" s="28"/>
      <c r="C199" s="29"/>
      <c r="D199" s="30"/>
      <c r="E199" s="28"/>
      <c r="F199" s="29"/>
      <c r="G199" s="29"/>
      <c r="H199" s="29"/>
      <c r="I199" s="29"/>
      <c r="J199" s="29"/>
      <c r="K199" s="29"/>
      <c r="L199" s="29"/>
      <c r="M199" s="29"/>
      <c r="N199" s="30"/>
      <c r="O199" s="28" t="s">
        <v>94</v>
      </c>
      <c r="P199" s="29" t="s">
        <v>95</v>
      </c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57">
        <f>Q210</f>
        <v>30.549999999999997</v>
      </c>
      <c r="AB199" s="29" t="s">
        <v>82</v>
      </c>
      <c r="AC199" s="30"/>
      <c r="AD199" s="31"/>
      <c r="AE199" s="31"/>
      <c r="AF199" s="31"/>
      <c r="AG199" s="31"/>
      <c r="AH199" s="31"/>
      <c r="AI199" s="32"/>
    </row>
    <row r="200" spans="1:35" x14ac:dyDescent="0.25">
      <c r="A200" s="27"/>
      <c r="B200" s="28"/>
      <c r="C200" s="29"/>
      <c r="D200" s="30"/>
      <c r="E200" s="28"/>
      <c r="F200" s="29"/>
      <c r="G200" s="29"/>
      <c r="H200" s="29"/>
      <c r="I200" s="29"/>
      <c r="J200" s="29"/>
      <c r="K200" s="29"/>
      <c r="L200" s="29"/>
      <c r="M200" s="58">
        <v>1.36</v>
      </c>
      <c r="N200" s="30"/>
      <c r="O200" s="28"/>
      <c r="P200" s="29" t="s">
        <v>81</v>
      </c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30"/>
      <c r="AD200" s="31"/>
      <c r="AE200" s="31"/>
      <c r="AF200" s="31"/>
      <c r="AG200" s="31"/>
      <c r="AH200" s="31"/>
      <c r="AI200" s="32"/>
    </row>
    <row r="201" spans="1:35" x14ac:dyDescent="0.25">
      <c r="A201" s="27"/>
      <c r="B201" s="28"/>
      <c r="C201" s="29"/>
      <c r="D201" s="30"/>
      <c r="E201" s="28"/>
      <c r="F201" s="29"/>
      <c r="G201" s="29"/>
      <c r="H201" s="29"/>
      <c r="I201" s="29"/>
      <c r="J201" s="29"/>
      <c r="K201" s="29"/>
      <c r="L201" s="29"/>
      <c r="M201" s="29"/>
      <c r="N201" s="30"/>
      <c r="O201" s="28"/>
      <c r="P201" s="43" t="s">
        <v>17</v>
      </c>
      <c r="Q201" s="29">
        <f>H209</f>
        <v>5</v>
      </c>
      <c r="R201" s="38" t="s">
        <v>16</v>
      </c>
      <c r="S201" s="29">
        <f>E203</f>
        <v>3.4</v>
      </c>
      <c r="T201" s="29"/>
      <c r="U201" s="29"/>
      <c r="V201" s="29"/>
      <c r="W201" s="29"/>
      <c r="X201" s="29"/>
      <c r="Y201" s="29"/>
      <c r="Z201" s="29"/>
      <c r="AA201" s="29"/>
      <c r="AB201" s="29"/>
      <c r="AC201" s="30"/>
      <c r="AD201" s="31"/>
      <c r="AE201" s="31"/>
      <c r="AF201" s="31"/>
      <c r="AG201" s="31"/>
      <c r="AH201" s="31"/>
      <c r="AI201" s="32"/>
    </row>
    <row r="202" spans="1:35" x14ac:dyDescent="0.25">
      <c r="A202" s="27"/>
      <c r="B202" s="28"/>
      <c r="C202" s="29"/>
      <c r="D202" s="30"/>
      <c r="E202" s="28"/>
      <c r="F202" s="29"/>
      <c r="G202" s="29"/>
      <c r="H202" s="29"/>
      <c r="I202" s="29"/>
      <c r="J202" s="29"/>
      <c r="K202" s="29"/>
      <c r="L202" s="29"/>
      <c r="M202" s="29"/>
      <c r="N202" s="30"/>
      <c r="O202" s="28"/>
      <c r="P202" s="43" t="s">
        <v>17</v>
      </c>
      <c r="Q202" s="29">
        <f>Q201*S201</f>
        <v>17</v>
      </c>
      <c r="R202" s="29" t="s">
        <v>82</v>
      </c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30"/>
      <c r="AD202" s="31"/>
      <c r="AE202" s="31"/>
      <c r="AF202" s="31"/>
      <c r="AG202" s="31"/>
      <c r="AH202" s="31"/>
      <c r="AI202" s="32"/>
    </row>
    <row r="203" spans="1:35" x14ac:dyDescent="0.25">
      <c r="A203" s="27"/>
      <c r="B203" s="28"/>
      <c r="C203" s="29"/>
      <c r="D203" s="30"/>
      <c r="E203" s="54">
        <v>3.4</v>
      </c>
      <c r="F203" s="29"/>
      <c r="G203" s="29"/>
      <c r="H203" s="29"/>
      <c r="I203" s="29"/>
      <c r="J203" s="29"/>
      <c r="K203" s="29"/>
      <c r="L203" s="29"/>
      <c r="M203" s="29"/>
      <c r="N203" s="30"/>
      <c r="O203" s="28"/>
      <c r="P203" s="29" t="s">
        <v>83</v>
      </c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30"/>
      <c r="AD203" s="31"/>
      <c r="AE203" s="31"/>
      <c r="AF203" s="31"/>
      <c r="AG203" s="31"/>
      <c r="AH203" s="31"/>
      <c r="AI203" s="32"/>
    </row>
    <row r="204" spans="1:35" x14ac:dyDescent="0.25">
      <c r="A204" s="27"/>
      <c r="B204" s="28"/>
      <c r="C204" s="29"/>
      <c r="D204" s="30"/>
      <c r="E204" s="28"/>
      <c r="F204" s="29"/>
      <c r="G204" s="29"/>
      <c r="H204" s="29"/>
      <c r="I204" s="29"/>
      <c r="J204" s="29"/>
      <c r="K204" s="29"/>
      <c r="L204" s="29"/>
      <c r="M204" s="58">
        <v>2.9</v>
      </c>
      <c r="N204" s="30"/>
      <c r="O204" s="28"/>
      <c r="P204" s="43" t="s">
        <v>17</v>
      </c>
      <c r="Q204" s="29">
        <f>J209</f>
        <v>3.5</v>
      </c>
      <c r="R204" s="38" t="s">
        <v>16</v>
      </c>
      <c r="S204" s="29">
        <f>M204</f>
        <v>2.9</v>
      </c>
      <c r="T204" s="29"/>
      <c r="U204" s="29"/>
      <c r="V204" s="29"/>
      <c r="W204" s="29"/>
      <c r="X204" s="29"/>
      <c r="Y204" s="29"/>
      <c r="Z204" s="29"/>
      <c r="AA204" s="29"/>
      <c r="AB204" s="29"/>
      <c r="AC204" s="30"/>
      <c r="AD204" s="31"/>
      <c r="AE204" s="31"/>
      <c r="AF204" s="31"/>
      <c r="AG204" s="31"/>
      <c r="AH204" s="31"/>
      <c r="AI204" s="32"/>
    </row>
    <row r="205" spans="1:35" x14ac:dyDescent="0.25">
      <c r="A205" s="27"/>
      <c r="B205" s="28"/>
      <c r="C205" s="29"/>
      <c r="D205" s="30"/>
      <c r="E205" s="28"/>
      <c r="F205" s="29"/>
      <c r="G205" s="29"/>
      <c r="H205" s="29"/>
      <c r="I205" s="29"/>
      <c r="J205" s="29"/>
      <c r="K205" s="29"/>
      <c r="L205" s="29"/>
      <c r="M205" s="29"/>
      <c r="N205" s="30"/>
      <c r="O205" s="28"/>
      <c r="P205" s="43" t="s">
        <v>17</v>
      </c>
      <c r="Q205" s="29">
        <f>Q204*S204</f>
        <v>10.15</v>
      </c>
      <c r="R205" s="29" t="s">
        <v>82</v>
      </c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30"/>
      <c r="AD205" s="31"/>
      <c r="AE205" s="31"/>
      <c r="AF205" s="31"/>
      <c r="AG205" s="31"/>
      <c r="AH205" s="31"/>
      <c r="AI205" s="32"/>
    </row>
    <row r="206" spans="1:35" x14ac:dyDescent="0.25">
      <c r="A206" s="27"/>
      <c r="B206" s="28"/>
      <c r="C206" s="29"/>
      <c r="D206" s="30"/>
      <c r="E206" s="28"/>
      <c r="F206" s="29"/>
      <c r="G206" s="29"/>
      <c r="H206" s="29"/>
      <c r="I206" s="29"/>
      <c r="J206" s="29"/>
      <c r="K206" s="29"/>
      <c r="L206" s="29"/>
      <c r="M206" s="29"/>
      <c r="N206" s="30"/>
      <c r="O206" s="28"/>
      <c r="P206" s="29" t="s">
        <v>96</v>
      </c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30"/>
      <c r="AD206" s="31"/>
      <c r="AE206" s="31"/>
      <c r="AF206" s="31"/>
      <c r="AG206" s="31"/>
      <c r="AH206" s="31"/>
      <c r="AI206" s="32"/>
    </row>
    <row r="207" spans="1:35" x14ac:dyDescent="0.25">
      <c r="A207" s="27"/>
      <c r="B207" s="28"/>
      <c r="C207" s="29"/>
      <c r="D207" s="30"/>
      <c r="E207" s="28"/>
      <c r="F207" s="29"/>
      <c r="G207" s="29"/>
      <c r="H207" s="29"/>
      <c r="I207" s="29"/>
      <c r="J207" s="29"/>
      <c r="K207" s="29"/>
      <c r="L207" s="29"/>
      <c r="M207" s="29"/>
      <c r="N207" s="30"/>
      <c r="O207" s="28"/>
      <c r="P207" s="43" t="s">
        <v>17</v>
      </c>
      <c r="Q207" s="29">
        <f>1/2</f>
        <v>0.5</v>
      </c>
      <c r="R207" s="38" t="s">
        <v>16</v>
      </c>
      <c r="S207" s="29">
        <f>H209</f>
        <v>5</v>
      </c>
      <c r="T207" s="38" t="s">
        <v>16</v>
      </c>
      <c r="U207" s="29">
        <f>M200</f>
        <v>1.36</v>
      </c>
      <c r="V207" s="29"/>
      <c r="W207" s="29"/>
      <c r="X207" s="29"/>
      <c r="Y207" s="29"/>
      <c r="Z207" s="29"/>
      <c r="AA207" s="29"/>
      <c r="AB207" s="29"/>
      <c r="AC207" s="30"/>
      <c r="AD207" s="31"/>
      <c r="AE207" s="31"/>
      <c r="AF207" s="31"/>
      <c r="AG207" s="31"/>
      <c r="AH207" s="31"/>
      <c r="AI207" s="32"/>
    </row>
    <row r="208" spans="1:35" x14ac:dyDescent="0.25">
      <c r="A208" s="27"/>
      <c r="B208" s="28"/>
      <c r="C208" s="29"/>
      <c r="D208" s="30"/>
      <c r="E208" s="28"/>
      <c r="F208" s="29"/>
      <c r="G208" s="29"/>
      <c r="H208" s="29"/>
      <c r="I208" s="29"/>
      <c r="J208" s="29"/>
      <c r="K208" s="29"/>
      <c r="L208" s="29"/>
      <c r="M208" s="29"/>
      <c r="N208" s="30"/>
      <c r="O208" s="28"/>
      <c r="P208" s="43" t="s">
        <v>17</v>
      </c>
      <c r="Q208" s="29">
        <f>Q207*S207*U207</f>
        <v>3.4000000000000004</v>
      </c>
      <c r="R208" s="29" t="s">
        <v>82</v>
      </c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30"/>
      <c r="AD208" s="31"/>
      <c r="AE208" s="31"/>
      <c r="AF208" s="31"/>
      <c r="AG208" s="31"/>
      <c r="AH208" s="31"/>
      <c r="AI208" s="32"/>
    </row>
    <row r="209" spans="1:35" x14ac:dyDescent="0.25">
      <c r="A209" s="27"/>
      <c r="B209" s="28"/>
      <c r="C209" s="29"/>
      <c r="D209" s="30"/>
      <c r="E209" s="28"/>
      <c r="F209" s="29"/>
      <c r="G209" s="29"/>
      <c r="H209" s="58">
        <v>5</v>
      </c>
      <c r="I209" s="29"/>
      <c r="J209" s="58">
        <v>3.5</v>
      </c>
      <c r="K209" s="29"/>
      <c r="L209" s="29"/>
      <c r="M209" s="29"/>
      <c r="N209" s="30"/>
      <c r="O209" s="28"/>
      <c r="P209" s="29" t="s">
        <v>98</v>
      </c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30"/>
      <c r="AD209" s="31"/>
      <c r="AE209" s="31"/>
      <c r="AF209" s="31"/>
      <c r="AG209" s="31"/>
      <c r="AH209" s="31"/>
      <c r="AI209" s="32"/>
    </row>
    <row r="210" spans="1:35" x14ac:dyDescent="0.25">
      <c r="A210" s="27"/>
      <c r="B210" s="28"/>
      <c r="C210" s="29"/>
      <c r="D210" s="30"/>
      <c r="E210" s="28"/>
      <c r="F210" s="29"/>
      <c r="G210" s="29"/>
      <c r="H210" s="29"/>
      <c r="I210" s="29"/>
      <c r="J210" s="29"/>
      <c r="K210" s="29"/>
      <c r="L210" s="29"/>
      <c r="M210" s="29"/>
      <c r="N210" s="30"/>
      <c r="O210" s="28"/>
      <c r="P210" s="43" t="s">
        <v>17</v>
      </c>
      <c r="Q210" s="29">
        <f>Q202+Q205+Q208</f>
        <v>30.549999999999997</v>
      </c>
      <c r="R210" s="29" t="s">
        <v>82</v>
      </c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30"/>
      <c r="AD210" s="31"/>
      <c r="AE210" s="31"/>
      <c r="AF210" s="31"/>
      <c r="AG210" s="31"/>
      <c r="AH210" s="31"/>
      <c r="AI210" s="32"/>
    </row>
    <row r="211" spans="1:35" ht="15.75" thickBot="1" x14ac:dyDescent="0.3">
      <c r="A211" s="5"/>
      <c r="B211" s="17"/>
      <c r="C211" s="18"/>
      <c r="D211" s="19"/>
      <c r="E211" s="17"/>
      <c r="F211" s="18"/>
      <c r="G211" s="18"/>
      <c r="H211" s="18"/>
      <c r="I211" s="18"/>
      <c r="J211" s="18"/>
      <c r="K211" s="18"/>
      <c r="L211" s="18"/>
      <c r="M211" s="18"/>
      <c r="N211" s="19"/>
      <c r="O211" s="17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9"/>
      <c r="AD211" s="6"/>
      <c r="AE211" s="6"/>
      <c r="AF211" s="6"/>
      <c r="AG211" s="6"/>
      <c r="AH211" s="6"/>
      <c r="AI211" s="7"/>
    </row>
    <row r="212" spans="1:35" ht="15.75" thickTop="1" x14ac:dyDescent="0.25">
      <c r="A212" s="597"/>
      <c r="B212" s="272"/>
      <c r="C212" s="598"/>
      <c r="D212" s="273"/>
      <c r="E212" s="272"/>
      <c r="F212" s="598"/>
      <c r="G212" s="598"/>
      <c r="H212" s="598"/>
      <c r="I212" s="598"/>
      <c r="J212" s="598"/>
      <c r="K212" s="598"/>
      <c r="L212" s="598"/>
      <c r="M212" s="598"/>
      <c r="N212" s="273"/>
      <c r="O212" s="272"/>
      <c r="P212" s="598"/>
      <c r="Q212" s="598"/>
      <c r="R212" s="598"/>
      <c r="S212" s="598"/>
      <c r="T212" s="598"/>
      <c r="U212" s="598"/>
      <c r="V212" s="598"/>
      <c r="W212" s="598"/>
      <c r="X212" s="598"/>
      <c r="Y212" s="598"/>
      <c r="Z212" s="598"/>
      <c r="AA212" s="598"/>
      <c r="AB212" s="598"/>
      <c r="AC212" s="273"/>
      <c r="AD212" s="274"/>
      <c r="AE212" s="274"/>
      <c r="AF212" s="274"/>
      <c r="AG212" s="274"/>
      <c r="AH212" s="274"/>
      <c r="AI212" s="599"/>
    </row>
    <row r="213" spans="1:35" x14ac:dyDescent="0.25">
      <c r="A213" s="27"/>
      <c r="B213" s="28"/>
      <c r="C213" s="29"/>
      <c r="D213" s="30"/>
      <c r="E213" s="28"/>
      <c r="F213" s="29"/>
      <c r="G213" s="29"/>
      <c r="H213" s="29"/>
      <c r="I213" s="29"/>
      <c r="J213" s="29"/>
      <c r="K213" s="29"/>
      <c r="L213" s="29"/>
      <c r="M213" s="29"/>
      <c r="N213" s="30"/>
      <c r="O213" s="28" t="s">
        <v>99</v>
      </c>
      <c r="P213" s="29" t="s">
        <v>100</v>
      </c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57">
        <f>Q224</f>
        <v>21.914999999999999</v>
      </c>
      <c r="AB213" s="29" t="s">
        <v>82</v>
      </c>
      <c r="AC213" s="30"/>
      <c r="AD213" s="31"/>
      <c r="AE213" s="31"/>
      <c r="AF213" s="31"/>
      <c r="AG213" s="31"/>
      <c r="AH213" s="31"/>
      <c r="AI213" s="32"/>
    </row>
    <row r="214" spans="1:35" x14ac:dyDescent="0.25">
      <c r="A214" s="27"/>
      <c r="B214" s="28"/>
      <c r="C214" s="29"/>
      <c r="D214" s="30"/>
      <c r="E214" s="28"/>
      <c r="F214" s="29"/>
      <c r="G214" s="29"/>
      <c r="H214" s="29"/>
      <c r="I214" s="29"/>
      <c r="J214" s="29"/>
      <c r="K214" s="29"/>
      <c r="L214" s="29"/>
      <c r="M214" s="29"/>
      <c r="N214" s="30"/>
      <c r="O214" s="28"/>
      <c r="P214" s="29" t="s">
        <v>81</v>
      </c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30"/>
      <c r="AD214" s="31"/>
      <c r="AE214" s="31"/>
      <c r="AF214" s="31"/>
      <c r="AG214" s="31"/>
      <c r="AH214" s="31"/>
      <c r="AI214" s="32"/>
    </row>
    <row r="215" spans="1:35" x14ac:dyDescent="0.25">
      <c r="A215" s="27"/>
      <c r="B215" s="28"/>
      <c r="C215" s="29"/>
      <c r="D215" s="30"/>
      <c r="E215" s="28"/>
      <c r="F215" s="29"/>
      <c r="G215" s="29"/>
      <c r="H215" s="29"/>
      <c r="I215" s="29"/>
      <c r="J215" s="29"/>
      <c r="K215" s="29"/>
      <c r="L215" s="29"/>
      <c r="M215" s="29"/>
      <c r="N215" s="30"/>
      <c r="O215" s="28"/>
      <c r="P215" s="43" t="s">
        <v>17</v>
      </c>
      <c r="Q215" s="29">
        <f>H222</f>
        <v>8</v>
      </c>
      <c r="R215" s="38" t="s">
        <v>16</v>
      </c>
      <c r="S215" s="29">
        <f>M216</f>
        <v>3.7</v>
      </c>
      <c r="T215" s="29"/>
      <c r="U215" s="29"/>
      <c r="V215" s="29"/>
      <c r="W215" s="29"/>
      <c r="X215" s="29"/>
      <c r="Y215" s="29"/>
      <c r="Z215" s="29"/>
      <c r="AA215" s="29"/>
      <c r="AB215" s="29"/>
      <c r="AC215" s="30"/>
      <c r="AD215" s="31"/>
      <c r="AE215" s="31"/>
      <c r="AF215" s="31"/>
      <c r="AG215" s="31"/>
      <c r="AH215" s="31"/>
      <c r="AI215" s="32"/>
    </row>
    <row r="216" spans="1:35" x14ac:dyDescent="0.25">
      <c r="A216" s="27"/>
      <c r="B216" s="28"/>
      <c r="C216" s="29"/>
      <c r="D216" s="30"/>
      <c r="E216" s="28"/>
      <c r="F216" s="29"/>
      <c r="G216" s="29"/>
      <c r="H216" s="29"/>
      <c r="I216" s="29"/>
      <c r="J216" s="29"/>
      <c r="K216" s="29"/>
      <c r="L216" s="29"/>
      <c r="M216" s="58">
        <v>3.7</v>
      </c>
      <c r="N216" s="30"/>
      <c r="O216" s="28"/>
      <c r="P216" s="43" t="s">
        <v>17</v>
      </c>
      <c r="Q216" s="29">
        <f>Q215*S215</f>
        <v>29.6</v>
      </c>
      <c r="R216" s="29" t="s">
        <v>82</v>
      </c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30"/>
      <c r="AD216" s="31"/>
      <c r="AE216" s="31"/>
      <c r="AF216" s="31"/>
      <c r="AG216" s="31"/>
      <c r="AH216" s="31"/>
      <c r="AI216" s="32"/>
    </row>
    <row r="217" spans="1:35" x14ac:dyDescent="0.25">
      <c r="A217" s="27"/>
      <c r="B217" s="28"/>
      <c r="C217" s="29"/>
      <c r="D217" s="30"/>
      <c r="E217" s="28"/>
      <c r="F217" s="29"/>
      <c r="G217" s="29"/>
      <c r="H217" s="29"/>
      <c r="I217" s="29"/>
      <c r="J217" s="29"/>
      <c r="K217" s="29"/>
      <c r="L217" s="29"/>
      <c r="M217" s="29"/>
      <c r="N217" s="30"/>
      <c r="O217" s="28"/>
      <c r="P217" s="29" t="s">
        <v>101</v>
      </c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30"/>
      <c r="AD217" s="31"/>
      <c r="AE217" s="31"/>
      <c r="AF217" s="31"/>
      <c r="AG217" s="31"/>
      <c r="AH217" s="31"/>
      <c r="AI217" s="32"/>
    </row>
    <row r="218" spans="1:35" x14ac:dyDescent="0.25">
      <c r="A218" s="27"/>
      <c r="B218" s="28"/>
      <c r="C218" s="29"/>
      <c r="D218" s="30"/>
      <c r="E218" s="28"/>
      <c r="F218" s="29"/>
      <c r="G218" s="29"/>
      <c r="H218" s="29"/>
      <c r="I218" s="29"/>
      <c r="J218" s="29"/>
      <c r="K218" s="29"/>
      <c r="L218" s="29"/>
      <c r="M218" s="29"/>
      <c r="N218" s="30"/>
      <c r="O218" s="28"/>
      <c r="P218" s="29" t="s">
        <v>102</v>
      </c>
      <c r="Q218" s="29"/>
      <c r="R218" s="58">
        <v>0.7</v>
      </c>
      <c r="S218" s="38" t="s">
        <v>16</v>
      </c>
      <c r="T218" s="58">
        <v>1.2</v>
      </c>
      <c r="U218" s="29"/>
      <c r="V218" s="29"/>
      <c r="W218" s="29"/>
      <c r="X218" s="29"/>
      <c r="Y218" s="29"/>
      <c r="Z218" s="29"/>
      <c r="AA218" s="29"/>
      <c r="AB218" s="29"/>
      <c r="AC218" s="30"/>
      <c r="AD218" s="31"/>
      <c r="AE218" s="31"/>
      <c r="AF218" s="31"/>
      <c r="AG218" s="31"/>
      <c r="AH218" s="31"/>
      <c r="AI218" s="32"/>
    </row>
    <row r="219" spans="1:35" x14ac:dyDescent="0.25">
      <c r="A219" s="27"/>
      <c r="B219" s="28"/>
      <c r="C219" s="29"/>
      <c r="D219" s="30"/>
      <c r="E219" s="28"/>
      <c r="F219" s="29"/>
      <c r="G219" s="29"/>
      <c r="H219" s="29"/>
      <c r="I219" s="29"/>
      <c r="J219" s="29"/>
      <c r="K219" s="29"/>
      <c r="L219" s="29"/>
      <c r="M219" s="29"/>
      <c r="N219" s="30"/>
      <c r="O219" s="28"/>
      <c r="P219" s="43" t="s">
        <v>17</v>
      </c>
      <c r="Q219" s="29">
        <f>R218*T218</f>
        <v>0.84</v>
      </c>
      <c r="R219" s="29" t="s">
        <v>82</v>
      </c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30"/>
      <c r="AD219" s="31"/>
      <c r="AE219" s="31"/>
      <c r="AF219" s="31"/>
      <c r="AG219" s="31"/>
      <c r="AH219" s="31"/>
      <c r="AI219" s="32"/>
    </row>
    <row r="220" spans="1:35" x14ac:dyDescent="0.25">
      <c r="A220" s="27"/>
      <c r="B220" s="28"/>
      <c r="C220" s="29"/>
      <c r="D220" s="30"/>
      <c r="E220" s="28"/>
      <c r="F220" s="29"/>
      <c r="G220" s="29"/>
      <c r="H220" s="29"/>
      <c r="I220" s="29"/>
      <c r="J220" s="29"/>
      <c r="K220" s="29"/>
      <c r="L220" s="29"/>
      <c r="M220" s="29"/>
      <c r="N220" s="30"/>
      <c r="O220" s="28"/>
      <c r="P220" s="29" t="s">
        <v>103</v>
      </c>
      <c r="Q220" s="29"/>
      <c r="R220" s="58">
        <v>1.85</v>
      </c>
      <c r="S220" s="38" t="s">
        <v>16</v>
      </c>
      <c r="T220" s="58">
        <v>3.7</v>
      </c>
      <c r="U220" s="29"/>
      <c r="V220" s="29"/>
      <c r="W220" s="29"/>
      <c r="X220" s="29"/>
      <c r="Y220" s="29"/>
      <c r="Z220" s="29"/>
      <c r="AA220" s="29"/>
      <c r="AB220" s="29"/>
      <c r="AC220" s="30"/>
      <c r="AD220" s="31"/>
      <c r="AE220" s="31"/>
      <c r="AF220" s="31"/>
      <c r="AG220" s="31"/>
      <c r="AH220" s="31"/>
      <c r="AI220" s="32"/>
    </row>
    <row r="221" spans="1:35" x14ac:dyDescent="0.25">
      <c r="A221" s="27"/>
      <c r="B221" s="28"/>
      <c r="C221" s="29"/>
      <c r="D221" s="30"/>
      <c r="E221" s="28"/>
      <c r="F221" s="29"/>
      <c r="G221" s="29"/>
      <c r="H221" s="29"/>
      <c r="I221" s="29"/>
      <c r="J221" s="29"/>
      <c r="K221" s="29"/>
      <c r="L221" s="29"/>
      <c r="M221" s="29"/>
      <c r="N221" s="30"/>
      <c r="O221" s="28"/>
      <c r="P221" s="43" t="s">
        <v>17</v>
      </c>
      <c r="Q221" s="29">
        <f>R220*T220</f>
        <v>6.8450000000000006</v>
      </c>
      <c r="R221" s="29" t="s">
        <v>82</v>
      </c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30"/>
      <c r="AD221" s="31"/>
      <c r="AE221" s="31"/>
      <c r="AF221" s="31"/>
      <c r="AG221" s="31"/>
      <c r="AH221" s="31"/>
      <c r="AI221" s="32"/>
    </row>
    <row r="222" spans="1:35" x14ac:dyDescent="0.25">
      <c r="A222" s="27"/>
      <c r="B222" s="28"/>
      <c r="C222" s="29"/>
      <c r="D222" s="30"/>
      <c r="E222" s="28"/>
      <c r="F222" s="29"/>
      <c r="G222" s="29"/>
      <c r="H222" s="58">
        <v>8</v>
      </c>
      <c r="I222" s="29"/>
      <c r="J222" s="29"/>
      <c r="K222" s="29"/>
      <c r="L222" s="29"/>
      <c r="M222" s="29"/>
      <c r="N222" s="30"/>
      <c r="O222" s="28"/>
      <c r="P222" s="29" t="s">
        <v>104</v>
      </c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30"/>
      <c r="AD222" s="31"/>
      <c r="AE222" s="31"/>
      <c r="AF222" s="31"/>
      <c r="AG222" s="31"/>
      <c r="AH222" s="31"/>
      <c r="AI222" s="32"/>
    </row>
    <row r="223" spans="1:35" x14ac:dyDescent="0.25">
      <c r="A223" s="27"/>
      <c r="B223" s="28"/>
      <c r="C223" s="29"/>
      <c r="D223" s="30"/>
      <c r="E223" s="28"/>
      <c r="F223" s="29"/>
      <c r="G223" s="29"/>
      <c r="H223" s="29"/>
      <c r="I223" s="29"/>
      <c r="J223" s="29"/>
      <c r="K223" s="29"/>
      <c r="L223" s="29"/>
      <c r="M223" s="29"/>
      <c r="N223" s="30"/>
      <c r="O223" s="28"/>
      <c r="P223" s="43" t="s">
        <v>17</v>
      </c>
      <c r="Q223" s="29" t="s">
        <v>105</v>
      </c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30"/>
      <c r="AD223" s="31"/>
      <c r="AE223" s="31"/>
      <c r="AF223" s="31"/>
      <c r="AG223" s="31"/>
      <c r="AH223" s="31"/>
      <c r="AI223" s="32"/>
    </row>
    <row r="224" spans="1:35" x14ac:dyDescent="0.25">
      <c r="A224" s="2"/>
      <c r="B224" s="14"/>
      <c r="C224" s="15"/>
      <c r="D224" s="16"/>
      <c r="E224" s="14"/>
      <c r="F224" s="15"/>
      <c r="G224" s="15"/>
      <c r="H224" s="15"/>
      <c r="I224" s="15"/>
      <c r="J224" s="15"/>
      <c r="K224" s="15"/>
      <c r="L224" s="15"/>
      <c r="M224" s="15"/>
      <c r="N224" s="16"/>
      <c r="O224" s="14"/>
      <c r="P224" s="59" t="s">
        <v>17</v>
      </c>
      <c r="Q224" s="15">
        <f>Q216-Q219-Q221</f>
        <v>21.914999999999999</v>
      </c>
      <c r="R224" s="15" t="s">
        <v>82</v>
      </c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6"/>
      <c r="AD224" s="3"/>
      <c r="AE224" s="3"/>
      <c r="AF224" s="3"/>
      <c r="AG224" s="3"/>
      <c r="AH224" s="3"/>
      <c r="AI224" s="4"/>
    </row>
    <row r="225" spans="1:35" x14ac:dyDescent="0.25">
      <c r="A225" s="597"/>
      <c r="B225" s="272"/>
      <c r="C225" s="598"/>
      <c r="D225" s="273"/>
      <c r="E225" s="272"/>
      <c r="F225" s="598"/>
      <c r="G225" s="598"/>
      <c r="H225" s="598"/>
      <c r="I225" s="598"/>
      <c r="J225" s="598"/>
      <c r="K225" s="598"/>
      <c r="L225" s="598"/>
      <c r="M225" s="598"/>
      <c r="N225" s="273"/>
      <c r="O225" s="272"/>
      <c r="P225" s="598"/>
      <c r="Q225" s="598"/>
      <c r="R225" s="598"/>
      <c r="S225" s="598"/>
      <c r="T225" s="598"/>
      <c r="U225" s="598"/>
      <c r="V225" s="598"/>
      <c r="W225" s="598"/>
      <c r="X225" s="598"/>
      <c r="Y225" s="598"/>
      <c r="Z225" s="598"/>
      <c r="AA225" s="598"/>
      <c r="AB225" s="598"/>
      <c r="AC225" s="273"/>
      <c r="AD225" s="274"/>
      <c r="AE225" s="274"/>
      <c r="AF225" s="274"/>
      <c r="AG225" s="274"/>
      <c r="AH225" s="274"/>
      <c r="AI225" s="599"/>
    </row>
    <row r="226" spans="1:35" x14ac:dyDescent="0.25">
      <c r="A226" s="27"/>
      <c r="B226" s="28"/>
      <c r="C226" s="29"/>
      <c r="D226" s="30"/>
      <c r="E226" s="28"/>
      <c r="F226" s="29"/>
      <c r="G226" s="29"/>
      <c r="H226" s="29"/>
      <c r="I226" s="29"/>
      <c r="J226" s="29"/>
      <c r="K226" s="29"/>
      <c r="L226" s="29"/>
      <c r="M226" s="29"/>
      <c r="N226" s="30"/>
      <c r="O226" s="28" t="s">
        <v>106</v>
      </c>
      <c r="P226" s="29" t="s">
        <v>107</v>
      </c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57">
        <f>Q242</f>
        <v>17.100000000000001</v>
      </c>
      <c r="AB226" s="29" t="s">
        <v>82</v>
      </c>
      <c r="AC226" s="30"/>
      <c r="AD226" s="31"/>
      <c r="AE226" s="31"/>
      <c r="AF226" s="31"/>
      <c r="AG226" s="31"/>
      <c r="AH226" s="31"/>
      <c r="AI226" s="32"/>
    </row>
    <row r="227" spans="1:35" x14ac:dyDescent="0.25">
      <c r="A227" s="27"/>
      <c r="B227" s="28"/>
      <c r="C227" s="29"/>
      <c r="D227" s="30"/>
      <c r="E227" s="28"/>
      <c r="F227" s="29"/>
      <c r="G227" s="29"/>
      <c r="H227" s="29"/>
      <c r="I227" s="29"/>
      <c r="J227" s="29"/>
      <c r="K227" s="29"/>
      <c r="L227" s="29"/>
      <c r="M227" s="29"/>
      <c r="N227" s="30"/>
      <c r="O227" s="28"/>
      <c r="P227" s="29" t="s">
        <v>81</v>
      </c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30"/>
      <c r="AD227" s="31"/>
      <c r="AE227" s="31"/>
      <c r="AF227" s="31"/>
      <c r="AG227" s="31"/>
      <c r="AH227" s="31"/>
      <c r="AI227" s="32"/>
    </row>
    <row r="228" spans="1:35" x14ac:dyDescent="0.25">
      <c r="A228" s="27"/>
      <c r="B228" s="28"/>
      <c r="C228" s="29"/>
      <c r="D228" s="30"/>
      <c r="E228" s="28"/>
      <c r="F228" s="29"/>
      <c r="G228" s="29"/>
      <c r="H228" s="29"/>
      <c r="I228" s="29"/>
      <c r="J228" s="29"/>
      <c r="K228" s="29"/>
      <c r="L228" s="29"/>
      <c r="M228" s="29"/>
      <c r="N228" s="30"/>
      <c r="O228" s="28"/>
      <c r="P228" s="43" t="s">
        <v>17</v>
      </c>
      <c r="Q228" s="29">
        <f>H237</f>
        <v>3</v>
      </c>
      <c r="R228" s="38" t="s">
        <v>16</v>
      </c>
      <c r="S228" s="29">
        <f>E230</f>
        <v>3.7</v>
      </c>
      <c r="T228" s="29"/>
      <c r="U228" s="29"/>
      <c r="V228" s="29"/>
      <c r="W228" s="29"/>
      <c r="X228" s="29"/>
      <c r="Y228" s="29"/>
      <c r="Z228" s="29"/>
      <c r="AA228" s="29"/>
      <c r="AB228" s="29"/>
      <c r="AC228" s="30"/>
      <c r="AD228" s="31"/>
      <c r="AE228" s="31"/>
      <c r="AF228" s="31"/>
      <c r="AG228" s="31"/>
      <c r="AH228" s="31"/>
      <c r="AI228" s="32"/>
    </row>
    <row r="229" spans="1:35" x14ac:dyDescent="0.25">
      <c r="A229" s="27"/>
      <c r="B229" s="28"/>
      <c r="C229" s="29"/>
      <c r="D229" s="30"/>
      <c r="E229" s="28"/>
      <c r="F229" s="29"/>
      <c r="G229" s="29"/>
      <c r="H229" s="29"/>
      <c r="I229" s="29"/>
      <c r="J229" s="29"/>
      <c r="K229" s="29"/>
      <c r="L229" s="29"/>
      <c r="M229" s="29"/>
      <c r="N229" s="30"/>
      <c r="O229" s="28"/>
      <c r="P229" s="43" t="s">
        <v>17</v>
      </c>
      <c r="Q229" s="29">
        <f>Q228*S228</f>
        <v>11.100000000000001</v>
      </c>
      <c r="R229" s="29" t="s">
        <v>82</v>
      </c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30"/>
      <c r="AD229" s="31"/>
      <c r="AE229" s="31"/>
      <c r="AF229" s="31"/>
      <c r="AG229" s="31"/>
      <c r="AH229" s="31"/>
      <c r="AI229" s="32"/>
    </row>
    <row r="230" spans="1:35" x14ac:dyDescent="0.25">
      <c r="A230" s="27"/>
      <c r="B230" s="28"/>
      <c r="C230" s="29"/>
      <c r="D230" s="30"/>
      <c r="E230" s="54">
        <v>3.7</v>
      </c>
      <c r="F230" s="29"/>
      <c r="G230" s="29"/>
      <c r="H230" s="29"/>
      <c r="I230" s="29"/>
      <c r="J230" s="29"/>
      <c r="K230" s="29"/>
      <c r="L230" s="29"/>
      <c r="M230" s="58">
        <v>3.4</v>
      </c>
      <c r="N230" s="30"/>
      <c r="O230" s="28"/>
      <c r="P230" s="29" t="s">
        <v>83</v>
      </c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30"/>
      <c r="AD230" s="31"/>
      <c r="AE230" s="31"/>
      <c r="AF230" s="31"/>
      <c r="AG230" s="31"/>
      <c r="AH230" s="31"/>
      <c r="AI230" s="32"/>
    </row>
    <row r="231" spans="1:35" x14ac:dyDescent="0.25">
      <c r="A231" s="27"/>
      <c r="B231" s="28"/>
      <c r="C231" s="29"/>
      <c r="D231" s="30"/>
      <c r="E231" s="28"/>
      <c r="F231" s="29"/>
      <c r="G231" s="29"/>
      <c r="H231" s="29"/>
      <c r="I231" s="29"/>
      <c r="J231" s="29"/>
      <c r="K231" s="29"/>
      <c r="L231" s="29"/>
      <c r="M231" s="29"/>
      <c r="N231" s="30"/>
      <c r="O231" s="28"/>
      <c r="P231" s="43" t="s">
        <v>17</v>
      </c>
      <c r="Q231" s="29">
        <f>J237</f>
        <v>3</v>
      </c>
      <c r="R231" s="38" t="s">
        <v>16</v>
      </c>
      <c r="S231" s="29">
        <f>M230</f>
        <v>3.4</v>
      </c>
      <c r="T231" s="29"/>
      <c r="U231" s="29"/>
      <c r="V231" s="29"/>
      <c r="W231" s="29"/>
      <c r="X231" s="29"/>
      <c r="Y231" s="29"/>
      <c r="Z231" s="29"/>
      <c r="AA231" s="29"/>
      <c r="AB231" s="29"/>
      <c r="AC231" s="30"/>
      <c r="AD231" s="31"/>
      <c r="AE231" s="31"/>
      <c r="AF231" s="31"/>
      <c r="AG231" s="31"/>
      <c r="AH231" s="31"/>
      <c r="AI231" s="32"/>
    </row>
    <row r="232" spans="1:35" x14ac:dyDescent="0.25">
      <c r="A232" s="27"/>
      <c r="B232" s="28"/>
      <c r="C232" s="29"/>
      <c r="D232" s="30"/>
      <c r="E232" s="28"/>
      <c r="F232" s="29"/>
      <c r="G232" s="29"/>
      <c r="H232" s="29"/>
      <c r="I232" s="29"/>
      <c r="J232" s="29"/>
      <c r="K232" s="29"/>
      <c r="L232" s="29"/>
      <c r="M232" s="29"/>
      <c r="N232" s="30"/>
      <c r="O232" s="28"/>
      <c r="P232" s="43" t="s">
        <v>17</v>
      </c>
      <c r="Q232" s="29">
        <f>Q231*S231</f>
        <v>10.199999999999999</v>
      </c>
      <c r="R232" s="29" t="s">
        <v>82</v>
      </c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30"/>
      <c r="AD232" s="31"/>
      <c r="AE232" s="31"/>
      <c r="AF232" s="31"/>
      <c r="AG232" s="31"/>
      <c r="AH232" s="31"/>
      <c r="AI232" s="32"/>
    </row>
    <row r="233" spans="1:35" x14ac:dyDescent="0.25">
      <c r="A233" s="27"/>
      <c r="B233" s="28"/>
      <c r="C233" s="29"/>
      <c r="D233" s="30"/>
      <c r="E233" s="28"/>
      <c r="F233" s="29"/>
      <c r="G233" s="29"/>
      <c r="H233" s="29"/>
      <c r="I233" s="29"/>
      <c r="J233" s="29"/>
      <c r="K233" s="29"/>
      <c r="L233" s="29"/>
      <c r="M233" s="29"/>
      <c r="N233" s="30"/>
      <c r="O233" s="28"/>
      <c r="P233" s="29" t="s">
        <v>108</v>
      </c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30"/>
      <c r="AD233" s="31"/>
      <c r="AE233" s="31"/>
      <c r="AF233" s="31"/>
      <c r="AG233" s="31"/>
      <c r="AH233" s="31"/>
      <c r="AI233" s="32"/>
    </row>
    <row r="234" spans="1:35" x14ac:dyDescent="0.25">
      <c r="A234" s="27"/>
      <c r="B234" s="28"/>
      <c r="C234" s="29"/>
      <c r="D234" s="30"/>
      <c r="E234" s="28"/>
      <c r="F234" s="29"/>
      <c r="G234" s="29"/>
      <c r="H234" s="29"/>
      <c r="I234" s="29"/>
      <c r="J234" s="29"/>
      <c r="K234" s="29"/>
      <c r="L234" s="29"/>
      <c r="M234" s="29"/>
      <c r="N234" s="30"/>
      <c r="O234" s="28"/>
      <c r="P234" s="29" t="s">
        <v>103</v>
      </c>
      <c r="Q234" s="29"/>
      <c r="R234" s="58">
        <v>0.7</v>
      </c>
      <c r="S234" s="38" t="s">
        <v>16</v>
      </c>
      <c r="T234" s="58">
        <v>1.2</v>
      </c>
      <c r="U234" s="29"/>
      <c r="V234" s="29"/>
      <c r="W234" s="29"/>
      <c r="X234" s="29"/>
      <c r="Y234" s="29"/>
      <c r="Z234" s="29"/>
      <c r="AA234" s="29"/>
      <c r="AB234" s="29"/>
      <c r="AC234" s="30"/>
      <c r="AD234" s="31"/>
      <c r="AE234" s="31"/>
      <c r="AF234" s="31"/>
      <c r="AG234" s="31"/>
      <c r="AH234" s="31"/>
      <c r="AI234" s="32"/>
    </row>
    <row r="235" spans="1:35" x14ac:dyDescent="0.25">
      <c r="A235" s="27"/>
      <c r="B235" s="28"/>
      <c r="C235" s="29"/>
      <c r="D235" s="30"/>
      <c r="E235" s="28"/>
      <c r="F235" s="29"/>
      <c r="G235" s="29"/>
      <c r="H235" s="29"/>
      <c r="I235" s="29"/>
      <c r="J235" s="29"/>
      <c r="K235" s="29"/>
      <c r="L235" s="29"/>
      <c r="M235" s="29"/>
      <c r="N235" s="30"/>
      <c r="O235" s="28"/>
      <c r="P235" s="43" t="s">
        <v>17</v>
      </c>
      <c r="Q235" s="29">
        <f>R234*T234</f>
        <v>0.84</v>
      </c>
      <c r="R235" s="29" t="s">
        <v>82</v>
      </c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30"/>
      <c r="AD235" s="31"/>
      <c r="AE235" s="31"/>
      <c r="AF235" s="31"/>
      <c r="AG235" s="31"/>
      <c r="AH235" s="31"/>
      <c r="AI235" s="32"/>
    </row>
    <row r="236" spans="1:35" x14ac:dyDescent="0.25">
      <c r="A236" s="27"/>
      <c r="B236" s="28"/>
      <c r="C236" s="29"/>
      <c r="D236" s="30"/>
      <c r="E236" s="28"/>
      <c r="F236" s="29"/>
      <c r="G236" s="29"/>
      <c r="H236" s="29"/>
      <c r="I236" s="29"/>
      <c r="J236" s="29"/>
      <c r="K236" s="29"/>
      <c r="L236" s="29"/>
      <c r="M236" s="29"/>
      <c r="N236" s="30"/>
      <c r="O236" s="28"/>
      <c r="P236" s="29" t="s">
        <v>109</v>
      </c>
      <c r="Q236" s="29"/>
      <c r="R236" s="58">
        <v>0.8</v>
      </c>
      <c r="S236" s="38" t="s">
        <v>16</v>
      </c>
      <c r="T236" s="58">
        <v>2.1</v>
      </c>
      <c r="U236" s="29"/>
      <c r="V236" s="29"/>
      <c r="W236" s="29"/>
      <c r="X236" s="29"/>
      <c r="Y236" s="29"/>
      <c r="Z236" s="29"/>
      <c r="AA236" s="29"/>
      <c r="AB236" s="29"/>
      <c r="AC236" s="30"/>
      <c r="AD236" s="31"/>
      <c r="AE236" s="31"/>
      <c r="AF236" s="31"/>
      <c r="AG236" s="31"/>
      <c r="AH236" s="31"/>
      <c r="AI236" s="32"/>
    </row>
    <row r="237" spans="1:35" x14ac:dyDescent="0.25">
      <c r="A237" s="27"/>
      <c r="B237" s="28"/>
      <c r="C237" s="29"/>
      <c r="D237" s="30"/>
      <c r="E237" s="28"/>
      <c r="F237" s="29"/>
      <c r="G237" s="29"/>
      <c r="H237" s="58">
        <v>3</v>
      </c>
      <c r="I237" s="29"/>
      <c r="J237" s="58">
        <v>3</v>
      </c>
      <c r="K237" s="29"/>
      <c r="L237" s="29"/>
      <c r="M237" s="29"/>
      <c r="N237" s="30"/>
      <c r="O237" s="28"/>
      <c r="P237" s="43" t="s">
        <v>17</v>
      </c>
      <c r="Q237" s="29">
        <f>R236*T236</f>
        <v>1.6800000000000002</v>
      </c>
      <c r="R237" s="29" t="s">
        <v>82</v>
      </c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30"/>
      <c r="AD237" s="31"/>
      <c r="AE237" s="31"/>
      <c r="AF237" s="31"/>
      <c r="AG237" s="31"/>
      <c r="AH237" s="31"/>
      <c r="AI237" s="32"/>
    </row>
    <row r="238" spans="1:35" x14ac:dyDescent="0.25">
      <c r="A238" s="27"/>
      <c r="B238" s="28"/>
      <c r="C238" s="29"/>
      <c r="D238" s="30"/>
      <c r="E238" s="28"/>
      <c r="F238" s="29"/>
      <c r="G238" s="29"/>
      <c r="H238" s="58"/>
      <c r="I238" s="29"/>
      <c r="J238" s="58"/>
      <c r="K238" s="29"/>
      <c r="L238" s="29"/>
      <c r="M238" s="29"/>
      <c r="N238" s="30"/>
      <c r="O238" s="28"/>
      <c r="P238" s="29" t="s">
        <v>110</v>
      </c>
      <c r="Q238" s="29"/>
      <c r="R238" s="58">
        <v>0.8</v>
      </c>
      <c r="S238" s="38" t="s">
        <v>16</v>
      </c>
      <c r="T238" s="58">
        <v>2.1</v>
      </c>
      <c r="U238" s="29"/>
      <c r="V238" s="29"/>
      <c r="W238" s="29"/>
      <c r="X238" s="29"/>
      <c r="Y238" s="29"/>
      <c r="Z238" s="29"/>
      <c r="AA238" s="29"/>
      <c r="AB238" s="29"/>
      <c r="AC238" s="30"/>
      <c r="AD238" s="31"/>
      <c r="AE238" s="31"/>
      <c r="AF238" s="31"/>
      <c r="AG238" s="31"/>
      <c r="AH238" s="31"/>
      <c r="AI238" s="32"/>
    </row>
    <row r="239" spans="1:35" x14ac:dyDescent="0.25">
      <c r="A239" s="27"/>
      <c r="B239" s="28"/>
      <c r="C239" s="29"/>
      <c r="D239" s="30"/>
      <c r="E239" s="28"/>
      <c r="F239" s="29"/>
      <c r="G239" s="29"/>
      <c r="H239" s="58"/>
      <c r="I239" s="29"/>
      <c r="J239" s="58"/>
      <c r="K239" s="29"/>
      <c r="L239" s="29"/>
      <c r="M239" s="29"/>
      <c r="N239" s="30"/>
      <c r="O239" s="28"/>
      <c r="P239" s="43" t="s">
        <v>17</v>
      </c>
      <c r="Q239" s="29">
        <f>R238*T238</f>
        <v>1.6800000000000002</v>
      </c>
      <c r="R239" s="29" t="s">
        <v>82</v>
      </c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30"/>
      <c r="AD239" s="31"/>
      <c r="AE239" s="31"/>
      <c r="AF239" s="31"/>
      <c r="AG239" s="31"/>
      <c r="AH239" s="31"/>
      <c r="AI239" s="32"/>
    </row>
    <row r="240" spans="1:35" x14ac:dyDescent="0.25">
      <c r="A240" s="27"/>
      <c r="B240" s="28"/>
      <c r="C240" s="29"/>
      <c r="D240" s="30"/>
      <c r="E240" s="28"/>
      <c r="F240" s="29"/>
      <c r="G240" s="29"/>
      <c r="H240" s="29"/>
      <c r="I240" s="29"/>
      <c r="J240" s="29"/>
      <c r="K240" s="29"/>
      <c r="L240" s="29"/>
      <c r="M240" s="29"/>
      <c r="N240" s="30"/>
      <c r="O240" s="28"/>
      <c r="P240" s="29" t="s">
        <v>104</v>
      </c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30"/>
      <c r="AD240" s="31"/>
      <c r="AE240" s="31"/>
      <c r="AF240" s="31"/>
      <c r="AG240" s="31"/>
      <c r="AH240" s="31"/>
      <c r="AI240" s="32"/>
    </row>
    <row r="241" spans="1:35" x14ac:dyDescent="0.25">
      <c r="A241" s="27"/>
      <c r="B241" s="28"/>
      <c r="C241" s="29"/>
      <c r="D241" s="30"/>
      <c r="E241" s="28"/>
      <c r="F241" s="29"/>
      <c r="G241" s="29"/>
      <c r="H241" s="29"/>
      <c r="I241" s="29"/>
      <c r="J241" s="29"/>
      <c r="K241" s="29"/>
      <c r="L241" s="29"/>
      <c r="M241" s="29"/>
      <c r="N241" s="30"/>
      <c r="O241" s="28"/>
      <c r="P241" s="43" t="s">
        <v>17</v>
      </c>
      <c r="Q241" s="29" t="s">
        <v>111</v>
      </c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30"/>
      <c r="AD241" s="31"/>
      <c r="AE241" s="31"/>
      <c r="AF241" s="31"/>
      <c r="AG241" s="31"/>
      <c r="AH241" s="31"/>
      <c r="AI241" s="32"/>
    </row>
    <row r="242" spans="1:35" x14ac:dyDescent="0.25">
      <c r="A242" s="27"/>
      <c r="B242" s="28"/>
      <c r="C242" s="29"/>
      <c r="D242" s="30"/>
      <c r="E242" s="28"/>
      <c r="F242" s="29"/>
      <c r="G242" s="29"/>
      <c r="H242" s="29"/>
      <c r="I242" s="29"/>
      <c r="J242" s="29"/>
      <c r="K242" s="29"/>
      <c r="L242" s="29"/>
      <c r="M242" s="29"/>
      <c r="N242" s="30"/>
      <c r="O242" s="28"/>
      <c r="P242" s="43" t="s">
        <v>17</v>
      </c>
      <c r="Q242" s="29">
        <f>Q229+Q232-Q235-Q237-Q239</f>
        <v>17.100000000000001</v>
      </c>
      <c r="R242" s="29" t="s">
        <v>82</v>
      </c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30"/>
      <c r="AD242" s="31"/>
      <c r="AE242" s="31"/>
      <c r="AF242" s="31"/>
      <c r="AG242" s="31"/>
      <c r="AH242" s="31"/>
      <c r="AI242" s="32"/>
    </row>
    <row r="243" spans="1:35" x14ac:dyDescent="0.25">
      <c r="A243" s="27"/>
      <c r="B243" s="28"/>
      <c r="C243" s="29"/>
      <c r="D243" s="30"/>
      <c r="E243" s="28"/>
      <c r="F243" s="29"/>
      <c r="G243" s="29"/>
      <c r="H243" s="29"/>
      <c r="I243" s="29"/>
      <c r="J243" s="29"/>
      <c r="K243" s="29"/>
      <c r="L243" s="29"/>
      <c r="M243" s="29"/>
      <c r="N243" s="30"/>
      <c r="O243" s="28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30"/>
      <c r="AD243" s="31"/>
      <c r="AE243" s="31"/>
      <c r="AF243" s="31"/>
      <c r="AG243" s="31"/>
      <c r="AH243" s="31"/>
      <c r="AI243" s="32"/>
    </row>
    <row r="244" spans="1:35" x14ac:dyDescent="0.25">
      <c r="A244" s="27"/>
      <c r="B244" s="28"/>
      <c r="C244" s="29"/>
      <c r="D244" s="30"/>
      <c r="E244" s="28"/>
      <c r="F244" s="29"/>
      <c r="G244" s="29"/>
      <c r="H244" s="29"/>
      <c r="I244" s="29"/>
      <c r="J244" s="29"/>
      <c r="K244" s="29"/>
      <c r="L244" s="29"/>
      <c r="M244" s="29"/>
      <c r="N244" s="30"/>
      <c r="O244" s="28" t="s">
        <v>112</v>
      </c>
      <c r="P244" s="29" t="s">
        <v>113</v>
      </c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57">
        <f>Q254</f>
        <v>8.52</v>
      </c>
      <c r="AB244" s="29" t="s">
        <v>82</v>
      </c>
      <c r="AC244" s="30"/>
      <c r="AD244" s="31"/>
      <c r="AE244" s="31"/>
      <c r="AF244" s="31"/>
      <c r="AG244" s="31"/>
      <c r="AH244" s="31"/>
      <c r="AI244" s="32"/>
    </row>
    <row r="245" spans="1:35" x14ac:dyDescent="0.25">
      <c r="A245" s="27"/>
      <c r="B245" s="28"/>
      <c r="C245" s="29"/>
      <c r="D245" s="30"/>
      <c r="E245" s="28"/>
      <c r="F245" s="29"/>
      <c r="G245" s="29"/>
      <c r="H245" s="29"/>
      <c r="I245" s="29"/>
      <c r="J245" s="29"/>
      <c r="K245" s="29"/>
      <c r="L245" s="29"/>
      <c r="M245" s="29"/>
      <c r="N245" s="30"/>
      <c r="O245" s="28"/>
      <c r="P245" s="29" t="s">
        <v>81</v>
      </c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30"/>
      <c r="AD245" s="31"/>
      <c r="AE245" s="31"/>
      <c r="AF245" s="31"/>
      <c r="AG245" s="31"/>
      <c r="AH245" s="31"/>
      <c r="AI245" s="32"/>
    </row>
    <row r="246" spans="1:35" x14ac:dyDescent="0.25">
      <c r="A246" s="27"/>
      <c r="B246" s="28"/>
      <c r="C246" s="29"/>
      <c r="D246" s="30"/>
      <c r="E246" s="28"/>
      <c r="F246" s="29"/>
      <c r="G246" s="29"/>
      <c r="H246" s="29"/>
      <c r="I246" s="29"/>
      <c r="J246" s="29"/>
      <c r="K246" s="29"/>
      <c r="L246" s="29"/>
      <c r="M246" s="29"/>
      <c r="N246" s="30"/>
      <c r="O246" s="28"/>
      <c r="P246" s="43" t="s">
        <v>17</v>
      </c>
      <c r="Q246" s="29">
        <f>I254</f>
        <v>3</v>
      </c>
      <c r="R246" s="38" t="s">
        <v>16</v>
      </c>
      <c r="S246" s="29">
        <f>L247</f>
        <v>3.4</v>
      </c>
      <c r="T246" s="29"/>
      <c r="U246" s="29"/>
      <c r="V246" s="29"/>
      <c r="W246" s="29"/>
      <c r="X246" s="29"/>
      <c r="Y246" s="29"/>
      <c r="Z246" s="29"/>
      <c r="AA246" s="29"/>
      <c r="AB246" s="29"/>
      <c r="AC246" s="30"/>
      <c r="AD246" s="31"/>
      <c r="AE246" s="31"/>
      <c r="AF246" s="31"/>
      <c r="AG246" s="31"/>
      <c r="AH246" s="31"/>
      <c r="AI246" s="32"/>
    </row>
    <row r="247" spans="1:35" x14ac:dyDescent="0.25">
      <c r="A247" s="27"/>
      <c r="B247" s="28"/>
      <c r="C247" s="29"/>
      <c r="D247" s="30"/>
      <c r="E247" s="28"/>
      <c r="F247" s="29"/>
      <c r="G247" s="29"/>
      <c r="H247" s="29"/>
      <c r="I247" s="29"/>
      <c r="J247" s="29"/>
      <c r="K247" s="29"/>
      <c r="L247" s="58">
        <v>3.4</v>
      </c>
      <c r="M247" s="29"/>
      <c r="N247" s="30"/>
      <c r="O247" s="28"/>
      <c r="P247" s="43" t="s">
        <v>17</v>
      </c>
      <c r="Q247" s="29">
        <f>Q246*S246</f>
        <v>10.199999999999999</v>
      </c>
      <c r="R247" s="29" t="s">
        <v>82</v>
      </c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30"/>
      <c r="AD247" s="31"/>
      <c r="AE247" s="31"/>
      <c r="AF247" s="31"/>
      <c r="AG247" s="31"/>
      <c r="AH247" s="31"/>
      <c r="AI247" s="32"/>
    </row>
    <row r="248" spans="1:35" x14ac:dyDescent="0.25">
      <c r="A248" s="27"/>
      <c r="B248" s="28"/>
      <c r="C248" s="29"/>
      <c r="D248" s="30"/>
      <c r="E248" s="28"/>
      <c r="F248" s="29"/>
      <c r="G248" s="29"/>
      <c r="H248" s="29"/>
      <c r="I248" s="29"/>
      <c r="J248" s="29"/>
      <c r="K248" s="29"/>
      <c r="L248" s="29"/>
      <c r="M248" s="29"/>
      <c r="N248" s="30"/>
      <c r="O248" s="28"/>
      <c r="P248" s="29" t="s">
        <v>114</v>
      </c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30"/>
      <c r="AD248" s="31"/>
      <c r="AE248" s="31"/>
      <c r="AF248" s="31"/>
      <c r="AG248" s="31"/>
      <c r="AH248" s="31"/>
      <c r="AI248" s="32"/>
    </row>
    <row r="249" spans="1:35" x14ac:dyDescent="0.25">
      <c r="A249" s="27"/>
      <c r="B249" s="28"/>
      <c r="C249" s="29"/>
      <c r="D249" s="30"/>
      <c r="E249" s="28"/>
      <c r="F249" s="29"/>
      <c r="G249" s="29"/>
      <c r="H249" s="29"/>
      <c r="I249" s="29"/>
      <c r="J249" s="29"/>
      <c r="K249" s="29"/>
      <c r="L249" s="29"/>
      <c r="M249" s="29"/>
      <c r="N249" s="30"/>
      <c r="O249" s="28"/>
      <c r="P249" s="29" t="s">
        <v>83</v>
      </c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30"/>
      <c r="AD249" s="31"/>
      <c r="AE249" s="31"/>
      <c r="AF249" s="31"/>
      <c r="AG249" s="31"/>
      <c r="AH249" s="31"/>
      <c r="AI249" s="32"/>
    </row>
    <row r="250" spans="1:35" x14ac:dyDescent="0.25">
      <c r="A250" s="27"/>
      <c r="B250" s="28"/>
      <c r="C250" s="29"/>
      <c r="D250" s="30"/>
      <c r="E250" s="28"/>
      <c r="F250" s="29"/>
      <c r="G250" s="29"/>
      <c r="H250" s="29"/>
      <c r="I250" s="29"/>
      <c r="J250" s="29"/>
      <c r="K250" s="29"/>
      <c r="L250" s="29"/>
      <c r="M250" s="29"/>
      <c r="N250" s="30"/>
      <c r="O250" s="28"/>
      <c r="P250" s="43" t="s">
        <v>17</v>
      </c>
      <c r="Q250" s="58">
        <v>0.8</v>
      </c>
      <c r="R250" s="38" t="s">
        <v>16</v>
      </c>
      <c r="S250" s="58">
        <v>2.1</v>
      </c>
      <c r="T250" s="29"/>
      <c r="U250" s="29"/>
      <c r="V250" s="29"/>
      <c r="W250" s="29"/>
      <c r="X250" s="29"/>
      <c r="Y250" s="29"/>
      <c r="Z250" s="29"/>
      <c r="AA250" s="29"/>
      <c r="AB250" s="29"/>
      <c r="AC250" s="30"/>
      <c r="AD250" s="31"/>
      <c r="AE250" s="31"/>
      <c r="AF250" s="31"/>
      <c r="AG250" s="31"/>
      <c r="AH250" s="31"/>
      <c r="AI250" s="32"/>
    </row>
    <row r="251" spans="1:35" x14ac:dyDescent="0.25">
      <c r="A251" s="27"/>
      <c r="B251" s="28"/>
      <c r="C251" s="29"/>
      <c r="D251" s="30"/>
      <c r="E251" s="28"/>
      <c r="F251" s="29"/>
      <c r="G251" s="29"/>
      <c r="H251" s="29"/>
      <c r="I251" s="29"/>
      <c r="J251" s="29"/>
      <c r="K251" s="29"/>
      <c r="L251" s="29"/>
      <c r="M251" s="29"/>
      <c r="N251" s="30"/>
      <c r="O251" s="28"/>
      <c r="P251" s="43" t="s">
        <v>17</v>
      </c>
      <c r="Q251" s="29">
        <f>Q250*S250</f>
        <v>1.6800000000000002</v>
      </c>
      <c r="R251" s="29" t="s">
        <v>82</v>
      </c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30"/>
      <c r="AD251" s="31"/>
      <c r="AE251" s="31"/>
      <c r="AF251" s="31"/>
      <c r="AG251" s="31"/>
      <c r="AH251" s="31"/>
      <c r="AI251" s="32"/>
    </row>
    <row r="252" spans="1:35" x14ac:dyDescent="0.25">
      <c r="A252" s="27"/>
      <c r="B252" s="28"/>
      <c r="C252" s="29"/>
      <c r="D252" s="30"/>
      <c r="E252" s="28"/>
      <c r="F252" s="29"/>
      <c r="G252" s="29"/>
      <c r="H252" s="29"/>
      <c r="I252" s="29"/>
      <c r="J252" s="29"/>
      <c r="K252" s="29"/>
      <c r="L252" s="29"/>
      <c r="M252" s="29"/>
      <c r="N252" s="30"/>
      <c r="O252" s="28"/>
      <c r="P252" s="29" t="s">
        <v>115</v>
      </c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30"/>
      <c r="AD252" s="31"/>
      <c r="AE252" s="31"/>
      <c r="AF252" s="31"/>
      <c r="AG252" s="31"/>
      <c r="AH252" s="31"/>
      <c r="AI252" s="32"/>
    </row>
    <row r="253" spans="1:35" x14ac:dyDescent="0.25">
      <c r="A253" s="27"/>
      <c r="B253" s="28"/>
      <c r="C253" s="29"/>
      <c r="D253" s="30"/>
      <c r="E253" s="28"/>
      <c r="F253" s="29"/>
      <c r="G253" s="29"/>
      <c r="H253" s="29"/>
      <c r="I253" s="29"/>
      <c r="J253" s="29"/>
      <c r="K253" s="29"/>
      <c r="L253" s="29"/>
      <c r="M253" s="29"/>
      <c r="N253" s="30"/>
      <c r="O253" s="28"/>
      <c r="P253" s="43" t="s">
        <v>17</v>
      </c>
      <c r="Q253" s="29" t="s">
        <v>116</v>
      </c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30"/>
      <c r="AD253" s="31"/>
      <c r="AE253" s="31"/>
      <c r="AF253" s="31"/>
      <c r="AG253" s="31"/>
      <c r="AH253" s="31"/>
      <c r="AI253" s="32"/>
    </row>
    <row r="254" spans="1:35" x14ac:dyDescent="0.25">
      <c r="A254" s="27"/>
      <c r="B254" s="28"/>
      <c r="C254" s="29"/>
      <c r="D254" s="30"/>
      <c r="E254" s="28"/>
      <c r="F254" s="29"/>
      <c r="G254" s="29"/>
      <c r="H254" s="29"/>
      <c r="I254" s="58">
        <v>3</v>
      </c>
      <c r="J254" s="29"/>
      <c r="K254" s="29"/>
      <c r="L254" s="29"/>
      <c r="M254" s="29"/>
      <c r="N254" s="30"/>
      <c r="O254" s="28"/>
      <c r="P254" s="43" t="s">
        <v>17</v>
      </c>
      <c r="Q254" s="29">
        <f>Q247-Q251</f>
        <v>8.52</v>
      </c>
      <c r="R254" s="29" t="s">
        <v>82</v>
      </c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30"/>
      <c r="AD254" s="31"/>
      <c r="AE254" s="31"/>
      <c r="AF254" s="31"/>
      <c r="AG254" s="31"/>
      <c r="AH254" s="31"/>
      <c r="AI254" s="32"/>
    </row>
    <row r="255" spans="1:35" x14ac:dyDescent="0.25">
      <c r="A255" s="27"/>
      <c r="B255" s="28"/>
      <c r="C255" s="29"/>
      <c r="D255" s="30"/>
      <c r="E255" s="28"/>
      <c r="F255" s="29"/>
      <c r="G255" s="29"/>
      <c r="H255" s="29"/>
      <c r="I255" s="29"/>
      <c r="J255" s="29"/>
      <c r="K255" s="29"/>
      <c r="L255" s="29"/>
      <c r="M255" s="29"/>
      <c r="N255" s="30"/>
      <c r="O255" s="28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30"/>
      <c r="AD255" s="31"/>
      <c r="AE255" s="31"/>
      <c r="AF255" s="31"/>
      <c r="AG255" s="31"/>
      <c r="AH255" s="31"/>
      <c r="AI255" s="32"/>
    </row>
    <row r="256" spans="1:35" x14ac:dyDescent="0.25">
      <c r="A256" s="27">
        <v>4</v>
      </c>
      <c r="B256" s="28" t="s">
        <v>117</v>
      </c>
      <c r="C256" s="29"/>
      <c r="D256" s="30"/>
      <c r="E256" s="28"/>
      <c r="F256" s="29"/>
      <c r="G256" s="29"/>
      <c r="H256" s="29"/>
      <c r="I256" s="29"/>
      <c r="J256" s="29"/>
      <c r="K256" s="29"/>
      <c r="L256" s="29"/>
      <c r="M256" s="29"/>
      <c r="N256" s="30"/>
      <c r="O256" s="28" t="s">
        <v>118</v>
      </c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30"/>
      <c r="AD256" s="31"/>
      <c r="AE256" s="39">
        <f>Q258</f>
        <v>320.81</v>
      </c>
      <c r="AF256" s="31"/>
      <c r="AG256" s="31"/>
      <c r="AH256" s="31"/>
      <c r="AI256" s="32"/>
    </row>
    <row r="257" spans="1:52" x14ac:dyDescent="0.25">
      <c r="A257" s="27"/>
      <c r="B257" s="28"/>
      <c r="C257" s="29"/>
      <c r="D257" s="30"/>
      <c r="E257" s="28"/>
      <c r="F257" s="29"/>
      <c r="G257" s="29"/>
      <c r="H257" s="29"/>
      <c r="I257" s="29"/>
      <c r="J257" s="29"/>
      <c r="K257" s="29"/>
      <c r="L257" s="29"/>
      <c r="M257" s="29"/>
      <c r="N257" s="30"/>
      <c r="O257" s="28"/>
      <c r="P257" s="43" t="s">
        <v>17</v>
      </c>
      <c r="Q257" s="465">
        <f>AE130</f>
        <v>160.405</v>
      </c>
      <c r="R257" s="465"/>
      <c r="S257" s="38" t="s">
        <v>16</v>
      </c>
      <c r="T257" s="29">
        <v>2</v>
      </c>
      <c r="U257" s="29"/>
      <c r="V257" s="29"/>
      <c r="W257" s="29"/>
      <c r="X257" s="29"/>
      <c r="Y257" s="29"/>
      <c r="Z257" s="29"/>
      <c r="AA257" s="29"/>
      <c r="AB257" s="29"/>
      <c r="AC257" s="30"/>
      <c r="AD257" s="31"/>
      <c r="AE257" s="31"/>
      <c r="AF257" s="31"/>
      <c r="AG257" s="31"/>
      <c r="AH257" s="31"/>
      <c r="AI257" s="32"/>
    </row>
    <row r="258" spans="1:52" x14ac:dyDescent="0.25">
      <c r="A258" s="27"/>
      <c r="B258" s="28"/>
      <c r="C258" s="29"/>
      <c r="D258" s="30"/>
      <c r="E258" s="28"/>
      <c r="F258" s="29"/>
      <c r="G258" s="29"/>
      <c r="H258" s="29"/>
      <c r="I258" s="29"/>
      <c r="J258" s="29"/>
      <c r="K258" s="29"/>
      <c r="L258" s="29"/>
      <c r="M258" s="29"/>
      <c r="N258" s="30"/>
      <c r="O258" s="28"/>
      <c r="P258" s="43" t="s">
        <v>17</v>
      </c>
      <c r="Q258" s="29">
        <f>Q257*T257</f>
        <v>320.81</v>
      </c>
      <c r="R258" s="29" t="s">
        <v>82</v>
      </c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30"/>
      <c r="AD258" s="31"/>
      <c r="AE258" s="31"/>
      <c r="AF258" s="31"/>
      <c r="AG258" s="31"/>
      <c r="AH258" s="31"/>
      <c r="AI258" s="32"/>
    </row>
    <row r="259" spans="1:52" x14ac:dyDescent="0.25">
      <c r="A259" s="27"/>
      <c r="B259" s="28"/>
      <c r="C259" s="29"/>
      <c r="D259" s="30"/>
      <c r="E259" s="28"/>
      <c r="F259" s="29"/>
      <c r="G259" s="29"/>
      <c r="H259" s="29"/>
      <c r="I259" s="29"/>
      <c r="J259" s="29"/>
      <c r="K259" s="29"/>
      <c r="L259" s="29"/>
      <c r="M259" s="29"/>
      <c r="N259" s="30"/>
      <c r="O259" s="28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30"/>
      <c r="AD259" s="31"/>
      <c r="AE259" s="31"/>
      <c r="AF259" s="31"/>
      <c r="AG259" s="31"/>
      <c r="AH259" s="31"/>
      <c r="AI259" s="32"/>
    </row>
    <row r="260" spans="1:52" x14ac:dyDescent="0.25">
      <c r="A260" s="27">
        <v>5</v>
      </c>
      <c r="B260" s="28" t="s">
        <v>119</v>
      </c>
      <c r="C260" s="29"/>
      <c r="D260" s="30"/>
      <c r="E260" s="28"/>
      <c r="F260" s="29"/>
      <c r="G260" s="29"/>
      <c r="H260" s="29"/>
      <c r="I260" s="29"/>
      <c r="J260" s="29"/>
      <c r="K260" s="29"/>
      <c r="L260" s="29"/>
      <c r="M260" s="29"/>
      <c r="N260" s="30"/>
      <c r="O260" s="28" t="s">
        <v>120</v>
      </c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30"/>
      <c r="AD260" s="31"/>
      <c r="AE260" s="39">
        <f>Q261</f>
        <v>320.81</v>
      </c>
      <c r="AF260" s="31"/>
      <c r="AG260" s="31"/>
      <c r="AH260" s="31"/>
      <c r="AI260" s="32"/>
    </row>
    <row r="261" spans="1:52" x14ac:dyDescent="0.25">
      <c r="A261" s="27"/>
      <c r="B261" s="28"/>
      <c r="C261" s="29"/>
      <c r="D261" s="30"/>
      <c r="E261" s="28"/>
      <c r="F261" s="29"/>
      <c r="G261" s="29"/>
      <c r="H261" s="29"/>
      <c r="I261" s="29"/>
      <c r="J261" s="29"/>
      <c r="K261" s="29"/>
      <c r="L261" s="29"/>
      <c r="M261" s="29"/>
      <c r="N261" s="30"/>
      <c r="O261" s="28"/>
      <c r="P261" s="43" t="s">
        <v>17</v>
      </c>
      <c r="Q261" s="29">
        <f>Q258</f>
        <v>320.81</v>
      </c>
      <c r="R261" s="29" t="s">
        <v>82</v>
      </c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30"/>
      <c r="AD261" s="31"/>
      <c r="AE261" s="31"/>
      <c r="AF261" s="31"/>
      <c r="AG261" s="31"/>
      <c r="AH261" s="31"/>
      <c r="AI261" s="32"/>
    </row>
    <row r="262" spans="1:52" ht="15.75" thickBot="1" x14ac:dyDescent="0.3">
      <c r="A262" s="5"/>
      <c r="B262" s="17"/>
      <c r="C262" s="18"/>
      <c r="D262" s="19"/>
      <c r="E262" s="17"/>
      <c r="F262" s="18"/>
      <c r="G262" s="18"/>
      <c r="H262" s="18"/>
      <c r="I262" s="18"/>
      <c r="J262" s="18"/>
      <c r="K262" s="18"/>
      <c r="L262" s="18"/>
      <c r="M262" s="18"/>
      <c r="N262" s="19"/>
      <c r="O262" s="17"/>
      <c r="P262" s="600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9"/>
      <c r="AD262" s="6"/>
      <c r="AE262" s="6"/>
      <c r="AF262" s="6"/>
      <c r="AG262" s="6"/>
      <c r="AH262" s="6"/>
      <c r="AI262" s="7"/>
    </row>
    <row r="263" spans="1:52" ht="15.75" thickTop="1" x14ac:dyDescent="0.25">
      <c r="A263" s="597"/>
      <c r="B263" s="272"/>
      <c r="C263" s="598"/>
      <c r="D263" s="273"/>
      <c r="E263" s="272"/>
      <c r="F263" s="598"/>
      <c r="G263" s="598"/>
      <c r="H263" s="598"/>
      <c r="I263" s="598"/>
      <c r="J263" s="598"/>
      <c r="K263" s="598"/>
      <c r="L263" s="598"/>
      <c r="M263" s="598"/>
      <c r="N263" s="273"/>
      <c r="O263" s="272"/>
      <c r="P263" s="601"/>
      <c r="Q263" s="598"/>
      <c r="R263" s="598"/>
      <c r="S263" s="598"/>
      <c r="T263" s="598"/>
      <c r="U263" s="598"/>
      <c r="V263" s="598"/>
      <c r="W263" s="598"/>
      <c r="X263" s="598"/>
      <c r="Y263" s="598"/>
      <c r="Z263" s="598"/>
      <c r="AA263" s="598"/>
      <c r="AB263" s="598"/>
      <c r="AC263" s="273"/>
      <c r="AD263" s="274"/>
      <c r="AE263" s="274"/>
      <c r="AF263" s="274"/>
      <c r="AG263" s="274"/>
      <c r="AH263" s="274"/>
      <c r="AI263" s="599"/>
    </row>
    <row r="264" spans="1:52" x14ac:dyDescent="0.25">
      <c r="A264" s="41" t="s">
        <v>121</v>
      </c>
      <c r="B264" s="42" t="s">
        <v>122</v>
      </c>
      <c r="C264" s="29"/>
      <c r="D264" s="30"/>
      <c r="E264" s="28"/>
      <c r="F264" s="29"/>
      <c r="G264" s="29"/>
      <c r="H264" s="29"/>
      <c r="I264" s="29"/>
      <c r="J264" s="29"/>
      <c r="K264" s="29"/>
      <c r="L264" s="29"/>
      <c r="M264" s="29"/>
      <c r="N264" s="30"/>
      <c r="O264" s="28"/>
      <c r="P264" s="43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30"/>
      <c r="AD264" s="31"/>
      <c r="AE264" s="31"/>
      <c r="AF264" s="31"/>
      <c r="AG264" s="31"/>
      <c r="AH264" s="31"/>
      <c r="AI264" s="32"/>
    </row>
    <row r="265" spans="1:52" x14ac:dyDescent="0.25">
      <c r="A265" s="27"/>
      <c r="B265" s="28"/>
      <c r="C265" s="29"/>
      <c r="D265" s="30"/>
      <c r="E265" s="28"/>
      <c r="F265" s="29"/>
      <c r="G265" s="29"/>
      <c r="H265" s="29"/>
      <c r="I265" s="29"/>
      <c r="J265" s="29"/>
      <c r="K265" s="29"/>
      <c r="L265" s="29"/>
      <c r="M265" s="29"/>
      <c r="N265" s="30"/>
      <c r="O265" s="42" t="s">
        <v>124</v>
      </c>
      <c r="P265" s="64" t="s">
        <v>123</v>
      </c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30"/>
      <c r="AD265" s="31"/>
      <c r="AE265" s="31"/>
      <c r="AF265" s="31"/>
      <c r="AG265" s="31"/>
      <c r="AH265" s="31"/>
      <c r="AI265" s="32"/>
      <c r="AK265">
        <f>E271</f>
        <v>0.25</v>
      </c>
      <c r="AL265">
        <f>AK265*AK266*AK267</f>
        <v>0.05</v>
      </c>
    </row>
    <row r="266" spans="1:52" x14ac:dyDescent="0.25">
      <c r="A266" s="27"/>
      <c r="B266" s="28"/>
      <c r="C266" s="29"/>
      <c r="D266" s="30"/>
      <c r="E266" s="28"/>
      <c r="F266" s="29"/>
      <c r="G266" s="29"/>
      <c r="H266" s="29"/>
      <c r="I266" s="29"/>
      <c r="J266" s="29"/>
      <c r="K266" s="29"/>
      <c r="L266" s="29"/>
      <c r="M266" s="29"/>
      <c r="N266" s="30"/>
      <c r="O266" s="65" t="s">
        <v>79</v>
      </c>
      <c r="P266" s="62" t="s">
        <v>125</v>
      </c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30"/>
      <c r="AD266" s="31"/>
      <c r="AE266" s="31"/>
      <c r="AF266" s="31"/>
      <c r="AG266" s="31"/>
      <c r="AH266" s="39">
        <f>V273+V285</f>
        <v>189.58125000000001</v>
      </c>
      <c r="AI266" s="32" t="s">
        <v>159</v>
      </c>
      <c r="AK266">
        <f>I279</f>
        <v>0.2</v>
      </c>
      <c r="AN266" s="65" t="s">
        <v>79</v>
      </c>
      <c r="AO266" s="62" t="s">
        <v>125</v>
      </c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</row>
    <row r="267" spans="1:52" x14ac:dyDescent="0.25">
      <c r="A267" s="27"/>
      <c r="B267" s="28"/>
      <c r="C267" s="29"/>
      <c r="D267" s="30"/>
      <c r="E267" s="28"/>
      <c r="F267" s="29"/>
      <c r="G267" s="29"/>
      <c r="H267" s="29"/>
      <c r="I267" s="29"/>
      <c r="J267" s="29"/>
      <c r="K267" s="29"/>
      <c r="L267" s="29"/>
      <c r="M267" s="29"/>
      <c r="N267" s="30"/>
      <c r="O267" s="60" t="s">
        <v>160</v>
      </c>
      <c r="P267" s="29" t="s">
        <v>129</v>
      </c>
      <c r="Q267" s="29"/>
      <c r="R267" s="29"/>
      <c r="S267" s="29"/>
      <c r="T267" s="29"/>
      <c r="U267" s="43" t="s">
        <v>29</v>
      </c>
      <c r="V267" s="58">
        <v>8</v>
      </c>
      <c r="W267" s="29" t="s">
        <v>130</v>
      </c>
      <c r="X267" s="29"/>
      <c r="Y267" s="29"/>
      <c r="Z267" s="29"/>
      <c r="AA267" s="29"/>
      <c r="AB267" s="29"/>
      <c r="AC267" s="30"/>
      <c r="AD267" s="31"/>
      <c r="AE267" s="31"/>
      <c r="AF267" s="31"/>
      <c r="AG267" s="31"/>
      <c r="AH267" s="31"/>
      <c r="AI267" s="32"/>
      <c r="AK267">
        <v>1</v>
      </c>
      <c r="AN267" s="60" t="s">
        <v>160</v>
      </c>
      <c r="AO267" s="29" t="s">
        <v>129</v>
      </c>
      <c r="AP267" s="29"/>
      <c r="AQ267" s="29"/>
      <c r="AR267" s="29"/>
      <c r="AS267" s="29"/>
      <c r="AT267" s="43" t="s">
        <v>29</v>
      </c>
      <c r="AU267" s="58">
        <v>8</v>
      </c>
      <c r="AV267" s="29" t="s">
        <v>130</v>
      </c>
      <c r="AW267" s="29"/>
      <c r="AX267" s="29"/>
      <c r="AY267" s="29"/>
      <c r="AZ267" s="29"/>
    </row>
    <row r="268" spans="1:52" x14ac:dyDescent="0.25">
      <c r="A268" s="27"/>
      <c r="B268" s="28"/>
      <c r="C268" s="29"/>
      <c r="D268" s="30"/>
      <c r="E268" s="28"/>
      <c r="F268" s="29"/>
      <c r="G268" s="29"/>
      <c r="H268" s="29"/>
      <c r="I268" s="29"/>
      <c r="J268" s="29"/>
      <c r="K268" s="29"/>
      <c r="L268" s="29"/>
      <c r="M268" s="29"/>
      <c r="N268" s="30"/>
      <c r="O268" s="28"/>
      <c r="P268" s="29" t="s">
        <v>126</v>
      </c>
      <c r="Q268" s="29"/>
      <c r="R268" s="29"/>
      <c r="S268" s="29"/>
      <c r="T268" s="29"/>
      <c r="U268" s="43" t="s">
        <v>29</v>
      </c>
      <c r="V268" s="29">
        <f>V90</f>
        <v>45</v>
      </c>
      <c r="W268" s="29" t="s">
        <v>127</v>
      </c>
      <c r="X268" s="29"/>
      <c r="Y268" s="29"/>
      <c r="Z268" s="29"/>
      <c r="AA268" s="29"/>
      <c r="AB268" s="29"/>
      <c r="AC268" s="30"/>
      <c r="AD268" s="31"/>
      <c r="AE268" s="31"/>
      <c r="AF268" s="31"/>
      <c r="AG268" s="31"/>
      <c r="AH268" s="31"/>
      <c r="AI268" s="32"/>
      <c r="AN268" s="28"/>
      <c r="AO268" s="29" t="s">
        <v>126</v>
      </c>
      <c r="AP268" s="29"/>
      <c r="AQ268" s="29"/>
      <c r="AR268" s="29"/>
      <c r="AS268" s="29"/>
      <c r="AT268" s="43" t="s">
        <v>29</v>
      </c>
      <c r="AU268" s="29">
        <v>1</v>
      </c>
      <c r="AV268" s="29" t="s">
        <v>127</v>
      </c>
      <c r="AW268" s="29"/>
      <c r="AX268" s="29"/>
      <c r="AY268" s="29"/>
      <c r="AZ268" s="29"/>
    </row>
    <row r="269" spans="1:52" x14ac:dyDescent="0.25">
      <c r="A269" s="27"/>
      <c r="B269" s="28"/>
      <c r="C269" s="29"/>
      <c r="D269" s="30"/>
      <c r="E269" s="28"/>
      <c r="F269" s="29"/>
      <c r="G269" s="29"/>
      <c r="H269" s="29"/>
      <c r="I269" s="29"/>
      <c r="J269" s="29"/>
      <c r="K269" s="29"/>
      <c r="L269" s="29"/>
      <c r="M269" s="29"/>
      <c r="N269" s="30"/>
      <c r="O269" s="28"/>
      <c r="P269" s="29" t="s">
        <v>128</v>
      </c>
      <c r="Q269" s="29"/>
      <c r="R269" s="29"/>
      <c r="S269" s="29"/>
      <c r="T269" s="29"/>
      <c r="U269" s="43" t="s">
        <v>29</v>
      </c>
      <c r="V269" s="29">
        <f>V268</f>
        <v>45</v>
      </c>
      <c r="W269" s="38" t="s">
        <v>16</v>
      </c>
      <c r="X269" s="29">
        <f>V267</f>
        <v>8</v>
      </c>
      <c r="Y269" s="29"/>
      <c r="Z269" s="29"/>
      <c r="AA269" s="29"/>
      <c r="AB269" s="29"/>
      <c r="AC269" s="30"/>
      <c r="AD269" s="31"/>
      <c r="AE269" s="31"/>
      <c r="AF269" s="31"/>
      <c r="AG269" s="31"/>
      <c r="AH269" s="31"/>
      <c r="AI269" s="32"/>
      <c r="AL269">
        <f>1/AL265</f>
        <v>20</v>
      </c>
      <c r="AN269" s="28"/>
      <c r="AO269" s="29" t="s">
        <v>128</v>
      </c>
      <c r="AP269" s="29"/>
      <c r="AQ269" s="29"/>
      <c r="AR269" s="29"/>
      <c r="AS269" s="29"/>
      <c r="AT269" s="43" t="s">
        <v>29</v>
      </c>
      <c r="AU269" s="29">
        <f>AU268</f>
        <v>1</v>
      </c>
      <c r="AV269" s="38" t="s">
        <v>16</v>
      </c>
      <c r="AW269" s="29">
        <f>AU267</f>
        <v>8</v>
      </c>
      <c r="AX269" s="29"/>
      <c r="AY269" s="29"/>
      <c r="AZ269" s="29"/>
    </row>
    <row r="270" spans="1:52" x14ac:dyDescent="0.25">
      <c r="A270" s="27"/>
      <c r="B270" s="28"/>
      <c r="C270" s="29"/>
      <c r="D270" s="30"/>
      <c r="E270" s="28"/>
      <c r="F270" s="29"/>
      <c r="G270" s="29"/>
      <c r="H270" s="29"/>
      <c r="I270" s="29"/>
      <c r="J270" s="29"/>
      <c r="K270" s="29"/>
      <c r="L270" s="29"/>
      <c r="M270" s="29"/>
      <c r="N270" s="30"/>
      <c r="O270" s="28"/>
      <c r="P270" s="29"/>
      <c r="Q270" s="29"/>
      <c r="R270" s="29"/>
      <c r="S270" s="29"/>
      <c r="T270" s="29"/>
      <c r="U270" s="43" t="s">
        <v>29</v>
      </c>
      <c r="V270" s="63">
        <f>V269*X269</f>
        <v>360</v>
      </c>
      <c r="W270" s="63" t="s">
        <v>127</v>
      </c>
      <c r="X270" s="29"/>
      <c r="Y270" s="29"/>
      <c r="Z270" s="29"/>
      <c r="AA270" s="29"/>
      <c r="AB270" s="29"/>
      <c r="AC270" s="30"/>
      <c r="AD270" s="31"/>
      <c r="AE270" s="31"/>
      <c r="AF270" s="31"/>
      <c r="AG270" s="31"/>
      <c r="AH270" s="31"/>
      <c r="AI270" s="32"/>
      <c r="AN270" s="28"/>
      <c r="AO270" s="29"/>
      <c r="AP270" s="29"/>
      <c r="AQ270" s="29"/>
      <c r="AR270" s="29"/>
      <c r="AS270" s="29"/>
      <c r="AT270" s="43" t="s">
        <v>29</v>
      </c>
      <c r="AU270" s="63">
        <f>AU269*AW269</f>
        <v>8</v>
      </c>
      <c r="AV270" s="63" t="s">
        <v>127</v>
      </c>
      <c r="AW270" s="29"/>
      <c r="AX270" s="29"/>
      <c r="AY270" s="29"/>
      <c r="AZ270" s="29"/>
    </row>
    <row r="271" spans="1:52" x14ac:dyDescent="0.25">
      <c r="A271" s="27"/>
      <c r="B271" s="28"/>
      <c r="C271" s="29"/>
      <c r="D271" s="30"/>
      <c r="E271" s="54">
        <v>0.25</v>
      </c>
      <c r="F271" s="29"/>
      <c r="G271" s="29"/>
      <c r="H271" s="29"/>
      <c r="I271" s="29"/>
      <c r="J271" s="29"/>
      <c r="K271" s="29"/>
      <c r="L271" s="29"/>
      <c r="M271" s="29"/>
      <c r="N271" s="30"/>
      <c r="O271" s="28"/>
      <c r="P271" s="29" t="s">
        <v>131</v>
      </c>
      <c r="Q271" s="29"/>
      <c r="R271" s="29"/>
      <c r="S271" s="29"/>
      <c r="T271" s="29"/>
      <c r="U271" s="43" t="s">
        <v>29</v>
      </c>
      <c r="V271" s="63">
        <f>V270/12</f>
        <v>30</v>
      </c>
      <c r="W271" s="63" t="s">
        <v>132</v>
      </c>
      <c r="X271" s="63"/>
      <c r="Y271" s="29"/>
      <c r="Z271" s="29"/>
      <c r="AA271" s="29"/>
      <c r="AB271" s="29"/>
      <c r="AC271" s="30"/>
      <c r="AD271" s="31"/>
      <c r="AE271" s="31"/>
      <c r="AF271" s="31"/>
      <c r="AG271" s="31"/>
      <c r="AH271" s="31"/>
      <c r="AI271" s="32"/>
      <c r="AN271" s="28"/>
      <c r="AO271" s="29" t="s">
        <v>131</v>
      </c>
      <c r="AP271" s="29"/>
      <c r="AQ271" s="29"/>
      <c r="AR271" s="29"/>
      <c r="AS271" s="29"/>
      <c r="AT271" s="43" t="s">
        <v>29</v>
      </c>
      <c r="AU271" s="63">
        <f>AU270/12</f>
        <v>0.66666666666666663</v>
      </c>
      <c r="AV271" s="63" t="s">
        <v>132</v>
      </c>
      <c r="AW271" s="63"/>
      <c r="AX271" s="29"/>
      <c r="AY271" s="29"/>
      <c r="AZ271" s="29"/>
    </row>
    <row r="272" spans="1:52" x14ac:dyDescent="0.25">
      <c r="A272" s="27"/>
      <c r="B272" s="28"/>
      <c r="C272" s="29"/>
      <c r="D272" s="30"/>
      <c r="E272" s="28"/>
      <c r="F272" s="29"/>
      <c r="G272" s="29"/>
      <c r="H272" s="29"/>
      <c r="I272" s="29"/>
      <c r="J272" s="29"/>
      <c r="K272" s="29"/>
      <c r="L272" s="29"/>
      <c r="M272" s="29"/>
      <c r="N272" s="30"/>
      <c r="O272" s="28"/>
      <c r="P272" s="29" t="s">
        <v>141</v>
      </c>
      <c r="Q272" s="29"/>
      <c r="R272" s="29"/>
      <c r="S272" s="29"/>
      <c r="T272" s="29"/>
      <c r="U272" s="29"/>
      <c r="V272" s="29">
        <v>4.74</v>
      </c>
      <c r="W272" s="29" t="s">
        <v>133</v>
      </c>
      <c r="X272" s="29"/>
      <c r="Y272" s="29"/>
      <c r="Z272" s="29"/>
      <c r="AA272" s="29"/>
      <c r="AB272" s="29"/>
      <c r="AC272" s="30"/>
      <c r="AD272" s="31"/>
      <c r="AE272" s="31"/>
      <c r="AF272" s="31"/>
      <c r="AG272" s="31"/>
      <c r="AH272" s="31"/>
      <c r="AI272" s="32"/>
      <c r="AN272" s="28"/>
      <c r="AO272" s="29" t="s">
        <v>141</v>
      </c>
      <c r="AP272" s="29"/>
      <c r="AQ272" s="29"/>
      <c r="AR272" s="29"/>
      <c r="AS272" s="29"/>
      <c r="AT272" s="29"/>
      <c r="AU272" s="29">
        <v>4.74</v>
      </c>
      <c r="AV272" s="29" t="s">
        <v>133</v>
      </c>
      <c r="AW272" s="29"/>
      <c r="AX272" s="29"/>
      <c r="AY272" s="29"/>
      <c r="AZ272" s="29"/>
    </row>
    <row r="273" spans="1:52" x14ac:dyDescent="0.25">
      <c r="A273" s="27"/>
      <c r="B273" s="28"/>
      <c r="C273" s="29"/>
      <c r="D273" s="30"/>
      <c r="E273" s="28"/>
      <c r="F273" s="29"/>
      <c r="G273" s="29"/>
      <c r="H273" s="29"/>
      <c r="I273" s="29"/>
      <c r="J273" s="29"/>
      <c r="K273" s="29"/>
      <c r="L273" s="29"/>
      <c r="M273" s="29"/>
      <c r="N273" s="30"/>
      <c r="O273" s="28"/>
      <c r="P273" s="29" t="s">
        <v>134</v>
      </c>
      <c r="Q273" s="29"/>
      <c r="R273" s="29"/>
      <c r="S273" s="29"/>
      <c r="T273" s="29"/>
      <c r="U273" s="43" t="s">
        <v>29</v>
      </c>
      <c r="V273" s="63">
        <f>V271*V272</f>
        <v>142.20000000000002</v>
      </c>
      <c r="W273" s="63" t="s">
        <v>133</v>
      </c>
      <c r="X273" s="29"/>
      <c r="Y273" s="29"/>
      <c r="Z273" s="29"/>
      <c r="AA273" s="29"/>
      <c r="AB273" s="29"/>
      <c r="AC273" s="30"/>
      <c r="AD273" s="31"/>
      <c r="AE273" s="31"/>
      <c r="AF273" s="31"/>
      <c r="AG273" s="31"/>
      <c r="AH273" s="31"/>
      <c r="AI273" s="32"/>
      <c r="AN273" s="28"/>
      <c r="AO273" s="29" t="s">
        <v>134</v>
      </c>
      <c r="AP273" s="29"/>
      <c r="AQ273" s="29"/>
      <c r="AR273" s="29"/>
      <c r="AS273" s="29"/>
      <c r="AT273" s="43" t="s">
        <v>29</v>
      </c>
      <c r="AU273" s="63">
        <f>AU271*AU272</f>
        <v>3.16</v>
      </c>
      <c r="AV273" s="63" t="s">
        <v>133</v>
      </c>
      <c r="AW273" s="29"/>
      <c r="AX273" s="29"/>
      <c r="AY273" s="29"/>
      <c r="AZ273" s="29"/>
    </row>
    <row r="274" spans="1:52" x14ac:dyDescent="0.25">
      <c r="A274" s="27"/>
      <c r="B274" s="28"/>
      <c r="C274" s="29"/>
      <c r="D274" s="30"/>
      <c r="E274" s="28"/>
      <c r="F274" s="29"/>
      <c r="G274" s="29"/>
      <c r="H274" s="29"/>
      <c r="I274" s="29"/>
      <c r="J274" s="29"/>
      <c r="K274" s="29"/>
      <c r="L274" s="29"/>
      <c r="M274" s="29"/>
      <c r="N274" s="30"/>
      <c r="O274" s="28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30"/>
      <c r="AD274" s="31"/>
      <c r="AE274" s="31"/>
      <c r="AF274" s="31"/>
      <c r="AG274" s="31"/>
      <c r="AH274" s="31"/>
      <c r="AI274" s="32"/>
      <c r="AN274" s="28"/>
      <c r="AO274" s="29"/>
      <c r="AP274" s="29"/>
      <c r="AQ274" s="29"/>
      <c r="AR274" s="29"/>
      <c r="AS274" s="29"/>
      <c r="AT274" s="29"/>
      <c r="AU274" s="29"/>
      <c r="AV274" s="29"/>
      <c r="AW274" s="29"/>
      <c r="AX274" s="29"/>
      <c r="AY274" s="29"/>
      <c r="AZ274" s="29"/>
    </row>
    <row r="275" spans="1:52" x14ac:dyDescent="0.25">
      <c r="A275" s="27"/>
      <c r="B275" s="28"/>
      <c r="C275" s="29"/>
      <c r="D275" s="30"/>
      <c r="E275" s="28"/>
      <c r="F275" s="29"/>
      <c r="G275" s="29"/>
      <c r="H275" s="29"/>
      <c r="I275" s="29"/>
      <c r="J275" s="29"/>
      <c r="K275" s="29"/>
      <c r="L275" s="29"/>
      <c r="M275" s="29"/>
      <c r="N275" s="30"/>
      <c r="O275" s="60" t="s">
        <v>161</v>
      </c>
      <c r="P275" s="29" t="s">
        <v>136</v>
      </c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30"/>
      <c r="AD275" s="31"/>
      <c r="AE275" s="31"/>
      <c r="AF275" s="31"/>
      <c r="AG275" s="31"/>
      <c r="AH275" s="31"/>
      <c r="AI275" s="32"/>
      <c r="AN275" s="60" t="s">
        <v>161</v>
      </c>
      <c r="AO275" s="29" t="s">
        <v>136</v>
      </c>
      <c r="AP275" s="29"/>
      <c r="AQ275" s="29"/>
      <c r="AR275" s="29"/>
      <c r="AS275" s="29"/>
      <c r="AT275" s="29"/>
      <c r="AU275" s="29"/>
      <c r="AV275" s="29"/>
      <c r="AW275" s="29"/>
      <c r="AX275" s="29"/>
      <c r="AY275" s="29"/>
      <c r="AZ275" s="29"/>
    </row>
    <row r="276" spans="1:52" x14ac:dyDescent="0.25">
      <c r="A276" s="27"/>
      <c r="B276" s="28"/>
      <c r="C276" s="29"/>
      <c r="D276" s="30"/>
      <c r="E276" s="28"/>
      <c r="F276" s="29"/>
      <c r="G276" s="29"/>
      <c r="H276" s="29"/>
      <c r="I276" s="29"/>
      <c r="J276" s="29"/>
      <c r="K276" s="29"/>
      <c r="L276" s="29"/>
      <c r="M276" s="29"/>
      <c r="N276" s="30"/>
      <c r="O276" s="28"/>
      <c r="P276" s="29" t="s">
        <v>137</v>
      </c>
      <c r="Q276" s="29"/>
      <c r="R276" s="29"/>
      <c r="S276" s="29"/>
      <c r="T276" s="29"/>
      <c r="U276" s="43" t="s">
        <v>29</v>
      </c>
      <c r="V276" s="29">
        <f>0.2*2</f>
        <v>0.4</v>
      </c>
      <c r="W276" s="29" t="s">
        <v>19</v>
      </c>
      <c r="X276" s="29">
        <f>0.25*2</f>
        <v>0.5</v>
      </c>
      <c r="Y276" s="29" t="s">
        <v>19</v>
      </c>
      <c r="Z276" s="29">
        <v>0.05</v>
      </c>
      <c r="AA276" s="29"/>
      <c r="AB276" s="29"/>
      <c r="AC276" s="30"/>
      <c r="AD276" s="31"/>
      <c r="AE276" s="31"/>
      <c r="AF276" s="31"/>
      <c r="AG276" s="31"/>
      <c r="AH276" s="31"/>
      <c r="AI276" s="32"/>
      <c r="AN276" s="28"/>
      <c r="AO276" s="29" t="s">
        <v>137</v>
      </c>
      <c r="AP276" s="29"/>
      <c r="AQ276" s="29"/>
      <c r="AR276" s="29"/>
      <c r="AS276" s="29"/>
      <c r="AT276" s="43" t="s">
        <v>29</v>
      </c>
      <c r="AU276" s="29">
        <f>0.2*2</f>
        <v>0.4</v>
      </c>
      <c r="AV276" s="29" t="s">
        <v>19</v>
      </c>
      <c r="AW276" s="29">
        <f>0.25*2</f>
        <v>0.5</v>
      </c>
      <c r="AX276" s="29" t="s">
        <v>19</v>
      </c>
      <c r="AY276" s="29">
        <v>0.05</v>
      </c>
      <c r="AZ276" s="29"/>
    </row>
    <row r="277" spans="1:52" x14ac:dyDescent="0.25">
      <c r="A277" s="27"/>
      <c r="B277" s="28"/>
      <c r="C277" s="29"/>
      <c r="D277" s="30"/>
      <c r="E277" s="28"/>
      <c r="F277" s="29"/>
      <c r="G277" s="29"/>
      <c r="H277" s="29"/>
      <c r="I277" s="29"/>
      <c r="J277" s="29"/>
      <c r="K277" s="29"/>
      <c r="L277" s="29"/>
      <c r="M277" s="29"/>
      <c r="N277" s="30"/>
      <c r="O277" s="28"/>
      <c r="P277" s="29"/>
      <c r="Q277" s="29"/>
      <c r="R277" s="29"/>
      <c r="S277" s="29"/>
      <c r="T277" s="29"/>
      <c r="U277" s="43" t="s">
        <v>29</v>
      </c>
      <c r="V277" s="29">
        <f>V276+X276+Z276</f>
        <v>0.95000000000000007</v>
      </c>
      <c r="W277" s="29" t="s">
        <v>127</v>
      </c>
      <c r="X277" s="29"/>
      <c r="Y277" s="29"/>
      <c r="Z277" s="29"/>
      <c r="AA277" s="29"/>
      <c r="AB277" s="29"/>
      <c r="AC277" s="30"/>
      <c r="AD277" s="31"/>
      <c r="AE277" s="31"/>
      <c r="AF277" s="31"/>
      <c r="AG277" s="31"/>
      <c r="AH277" s="31"/>
      <c r="AI277" s="32"/>
      <c r="AN277" s="28"/>
      <c r="AO277" s="29"/>
      <c r="AP277" s="29"/>
      <c r="AQ277" s="29"/>
      <c r="AR277" s="29"/>
      <c r="AS277" s="29"/>
      <c r="AT277" s="43" t="s">
        <v>29</v>
      </c>
      <c r="AU277" s="29">
        <f>AU276+AW276+AY276</f>
        <v>0.95000000000000007</v>
      </c>
      <c r="AV277" s="29" t="s">
        <v>127</v>
      </c>
      <c r="AW277" s="29"/>
      <c r="AX277" s="29"/>
      <c r="AY277" s="29"/>
      <c r="AZ277" s="29"/>
    </row>
    <row r="278" spans="1:52" x14ac:dyDescent="0.25">
      <c r="A278" s="27"/>
      <c r="B278" s="28"/>
      <c r="C278" s="29"/>
      <c r="D278" s="30"/>
      <c r="E278" s="28"/>
      <c r="F278" s="29"/>
      <c r="G278" s="29"/>
      <c r="H278" s="29"/>
      <c r="I278" s="29"/>
      <c r="J278" s="29"/>
      <c r="K278" s="29"/>
      <c r="L278" s="29"/>
      <c r="M278" s="29"/>
      <c r="N278" s="30"/>
      <c r="O278" s="28"/>
      <c r="P278" s="29" t="s">
        <v>139</v>
      </c>
      <c r="Q278" s="29"/>
      <c r="R278" s="29"/>
      <c r="S278" s="29"/>
      <c r="T278" s="29"/>
      <c r="U278" s="43"/>
      <c r="V278" s="29"/>
      <c r="W278" s="29"/>
      <c r="X278" s="29"/>
      <c r="Y278" s="29"/>
      <c r="Z278" s="29"/>
      <c r="AA278" s="29"/>
      <c r="AB278" s="29"/>
      <c r="AC278" s="30"/>
      <c r="AD278" s="31"/>
      <c r="AE278" s="31"/>
      <c r="AF278" s="31"/>
      <c r="AG278" s="31"/>
      <c r="AH278" s="31"/>
      <c r="AI278" s="32"/>
      <c r="AN278" s="28"/>
      <c r="AO278" s="29" t="s">
        <v>139</v>
      </c>
      <c r="AP278" s="29"/>
      <c r="AQ278" s="29"/>
      <c r="AR278" s="29"/>
      <c r="AS278" s="29"/>
      <c r="AT278" s="43"/>
      <c r="AU278" s="29"/>
      <c r="AV278" s="29"/>
      <c r="AW278" s="29"/>
      <c r="AX278" s="29"/>
      <c r="AY278" s="29"/>
      <c r="AZ278" s="29"/>
    </row>
    <row r="279" spans="1:52" x14ac:dyDescent="0.25">
      <c r="A279" s="27"/>
      <c r="B279" s="28"/>
      <c r="C279" s="29"/>
      <c r="D279" s="30"/>
      <c r="E279" s="28"/>
      <c r="F279" s="29"/>
      <c r="G279" s="29"/>
      <c r="H279" s="29"/>
      <c r="I279" s="58">
        <v>0.2</v>
      </c>
      <c r="J279" s="29"/>
      <c r="K279" s="29"/>
      <c r="L279" s="29"/>
      <c r="M279" s="29"/>
      <c r="N279" s="30"/>
      <c r="O279" s="28"/>
      <c r="P279" s="29"/>
      <c r="Q279" s="29"/>
      <c r="R279" s="29"/>
      <c r="S279" s="29"/>
      <c r="T279" s="29"/>
      <c r="U279" s="43" t="s">
        <v>29</v>
      </c>
      <c r="V279" s="29">
        <f>V268</f>
        <v>45</v>
      </c>
      <c r="W279" s="29" t="s">
        <v>138</v>
      </c>
      <c r="X279" s="58">
        <v>0.2</v>
      </c>
      <c r="Y279" s="29"/>
      <c r="Z279" s="29"/>
      <c r="AA279" s="29"/>
      <c r="AB279" s="29"/>
      <c r="AC279" s="30"/>
      <c r="AD279" s="31"/>
      <c r="AE279" s="31"/>
      <c r="AF279" s="31"/>
      <c r="AG279" s="31"/>
      <c r="AH279" s="31"/>
      <c r="AI279" s="32"/>
      <c r="AN279" s="28"/>
      <c r="AO279" s="29"/>
      <c r="AP279" s="29"/>
      <c r="AQ279" s="29"/>
      <c r="AR279" s="29"/>
      <c r="AS279" s="29"/>
      <c r="AT279" s="43" t="s">
        <v>29</v>
      </c>
      <c r="AU279" s="29">
        <f>AU268</f>
        <v>1</v>
      </c>
      <c r="AV279" s="29" t="s">
        <v>138</v>
      </c>
      <c r="AW279" s="58">
        <v>0.2</v>
      </c>
      <c r="AX279" s="29"/>
      <c r="AY279" s="29"/>
      <c r="AZ279" s="29"/>
    </row>
    <row r="280" spans="1:52" x14ac:dyDescent="0.25">
      <c r="A280" s="27"/>
      <c r="B280" s="28"/>
      <c r="C280" s="29"/>
      <c r="D280" s="30"/>
      <c r="E280" s="28"/>
      <c r="F280" s="29"/>
      <c r="G280" s="29"/>
      <c r="H280" s="29"/>
      <c r="I280" s="29"/>
      <c r="J280" s="29"/>
      <c r="K280" s="29"/>
      <c r="L280" s="29"/>
      <c r="M280" s="29"/>
      <c r="N280" s="30"/>
      <c r="O280" s="28"/>
      <c r="P280" s="29"/>
      <c r="Q280" s="29"/>
      <c r="R280" s="29"/>
      <c r="S280" s="29"/>
      <c r="T280" s="29"/>
      <c r="U280" s="43" t="s">
        <v>29</v>
      </c>
      <c r="V280" s="29">
        <f>V279/X279</f>
        <v>225</v>
      </c>
      <c r="W280" s="29" t="s">
        <v>130</v>
      </c>
      <c r="X280" s="29"/>
      <c r="Y280" s="29"/>
      <c r="Z280" s="29"/>
      <c r="AA280" s="29"/>
      <c r="AB280" s="29"/>
      <c r="AC280" s="30"/>
      <c r="AD280" s="31"/>
      <c r="AE280" s="31"/>
      <c r="AF280" s="31"/>
      <c r="AG280" s="31"/>
      <c r="AH280" s="31"/>
      <c r="AI280" s="32"/>
      <c r="AN280" s="28"/>
      <c r="AO280" s="29"/>
      <c r="AP280" s="29"/>
      <c r="AQ280" s="29"/>
      <c r="AR280" s="29"/>
      <c r="AS280" s="29"/>
      <c r="AT280" s="43" t="s">
        <v>29</v>
      </c>
      <c r="AU280" s="29">
        <f>AU279/AW279</f>
        <v>5</v>
      </c>
      <c r="AV280" s="29" t="s">
        <v>130</v>
      </c>
      <c r="AW280" s="29"/>
      <c r="AX280" s="29"/>
      <c r="AY280" s="29"/>
      <c r="AZ280" s="29"/>
    </row>
    <row r="281" spans="1:52" x14ac:dyDescent="0.25">
      <c r="A281" s="27"/>
      <c r="B281" s="28"/>
      <c r="C281" s="29"/>
      <c r="D281" s="30"/>
      <c r="E281" s="28"/>
      <c r="F281" s="29"/>
      <c r="G281" s="29"/>
      <c r="H281" s="29"/>
      <c r="I281" s="29"/>
      <c r="J281" s="29"/>
      <c r="K281" s="29"/>
      <c r="L281" s="29"/>
      <c r="M281" s="29"/>
      <c r="N281" s="30"/>
      <c r="O281" s="28"/>
      <c r="P281" s="29" t="s">
        <v>142</v>
      </c>
      <c r="Q281" s="29"/>
      <c r="R281" s="29"/>
      <c r="S281" s="29"/>
      <c r="T281" s="29"/>
      <c r="U281" s="43"/>
      <c r="V281" s="29">
        <f>V277</f>
        <v>0.95000000000000007</v>
      </c>
      <c r="W281" s="29" t="s">
        <v>127</v>
      </c>
      <c r="X281" s="29"/>
      <c r="Y281" s="29"/>
      <c r="Z281" s="29"/>
      <c r="AA281" s="29"/>
      <c r="AB281" s="29"/>
      <c r="AC281" s="30"/>
      <c r="AD281" s="31"/>
      <c r="AE281" s="31"/>
      <c r="AF281" s="31"/>
      <c r="AG281" s="31"/>
      <c r="AH281" s="31"/>
      <c r="AI281" s="32"/>
      <c r="AN281" s="28"/>
      <c r="AO281" s="29" t="s">
        <v>142</v>
      </c>
      <c r="AP281" s="29"/>
      <c r="AQ281" s="29"/>
      <c r="AR281" s="29"/>
      <c r="AS281" s="29"/>
      <c r="AT281" s="43"/>
      <c r="AU281" s="29">
        <f>AU277</f>
        <v>0.95000000000000007</v>
      </c>
      <c r="AV281" s="29" t="s">
        <v>127</v>
      </c>
      <c r="AW281" s="29"/>
      <c r="AX281" s="29"/>
      <c r="AY281" s="29"/>
      <c r="AZ281" s="29"/>
    </row>
    <row r="282" spans="1:52" x14ac:dyDescent="0.25">
      <c r="A282" s="27"/>
      <c r="B282" s="28"/>
      <c r="C282" s="29"/>
      <c r="D282" s="30"/>
      <c r="E282" s="28"/>
      <c r="F282" s="29"/>
      <c r="G282" s="29"/>
      <c r="H282" s="29"/>
      <c r="I282" s="29"/>
      <c r="J282" s="29"/>
      <c r="K282" s="29"/>
      <c r="L282" s="29"/>
      <c r="M282" s="29"/>
      <c r="N282" s="30"/>
      <c r="O282" s="28"/>
      <c r="P282" s="29" t="s">
        <v>143</v>
      </c>
      <c r="Q282" s="29"/>
      <c r="R282" s="29"/>
      <c r="S282" s="29"/>
      <c r="T282" s="29"/>
      <c r="U282" s="43" t="s">
        <v>29</v>
      </c>
      <c r="V282" s="63">
        <f>V281*V280</f>
        <v>213.75000000000003</v>
      </c>
      <c r="W282" s="63" t="s">
        <v>127</v>
      </c>
      <c r="X282" s="29"/>
      <c r="Y282" s="29"/>
      <c r="Z282" s="29"/>
      <c r="AA282" s="29"/>
      <c r="AB282" s="29"/>
      <c r="AC282" s="30"/>
      <c r="AD282" s="31"/>
      <c r="AE282" s="31"/>
      <c r="AF282" s="31"/>
      <c r="AG282" s="31"/>
      <c r="AH282" s="31"/>
      <c r="AI282" s="32"/>
      <c r="AN282" s="28"/>
      <c r="AO282" s="29" t="s">
        <v>143</v>
      </c>
      <c r="AP282" s="29"/>
      <c r="AQ282" s="29"/>
      <c r="AR282" s="29"/>
      <c r="AS282" s="29"/>
      <c r="AT282" s="43" t="s">
        <v>29</v>
      </c>
      <c r="AU282" s="63">
        <f>AU281*AU280</f>
        <v>4.75</v>
      </c>
      <c r="AV282" s="63" t="s">
        <v>127</v>
      </c>
      <c r="AW282" s="29"/>
      <c r="AX282" s="29"/>
      <c r="AY282" s="29"/>
      <c r="AZ282" s="29"/>
    </row>
    <row r="283" spans="1:52" x14ac:dyDescent="0.25">
      <c r="A283" s="27"/>
      <c r="B283" s="28"/>
      <c r="C283" s="29"/>
      <c r="D283" s="30"/>
      <c r="E283" s="28"/>
      <c r="F283" s="29"/>
      <c r="G283" s="29"/>
      <c r="H283" s="29"/>
      <c r="I283" s="29"/>
      <c r="J283" s="29"/>
      <c r="K283" s="29"/>
      <c r="L283" s="29"/>
      <c r="M283" s="29"/>
      <c r="N283" s="30"/>
      <c r="O283" s="28"/>
      <c r="P283" s="29" t="s">
        <v>131</v>
      </c>
      <c r="Q283" s="29"/>
      <c r="R283" s="29"/>
      <c r="S283" s="29"/>
      <c r="T283" s="29"/>
      <c r="U283" s="43" t="s">
        <v>29</v>
      </c>
      <c r="V283" s="63">
        <f>V282/12</f>
        <v>17.812500000000004</v>
      </c>
      <c r="W283" s="63" t="s">
        <v>132</v>
      </c>
      <c r="X283" s="63"/>
      <c r="Y283" s="29"/>
      <c r="Z283" s="29"/>
      <c r="AA283" s="29"/>
      <c r="AB283" s="29"/>
      <c r="AC283" s="30"/>
      <c r="AD283" s="31"/>
      <c r="AE283" s="31"/>
      <c r="AF283" s="31"/>
      <c r="AG283" s="31"/>
      <c r="AH283" s="31"/>
      <c r="AI283" s="32"/>
      <c r="AN283" s="28"/>
      <c r="AO283" s="29" t="s">
        <v>131</v>
      </c>
      <c r="AP283" s="29"/>
      <c r="AQ283" s="29"/>
      <c r="AR283" s="29"/>
      <c r="AS283" s="29"/>
      <c r="AT283" s="43" t="s">
        <v>29</v>
      </c>
      <c r="AU283" s="63">
        <f>AU282/12</f>
        <v>0.39583333333333331</v>
      </c>
      <c r="AV283" s="63" t="s">
        <v>132</v>
      </c>
      <c r="AW283" s="63"/>
      <c r="AX283" s="29"/>
      <c r="AY283" s="29"/>
      <c r="AZ283" s="29"/>
    </row>
    <row r="284" spans="1:52" x14ac:dyDescent="0.25">
      <c r="A284" s="27"/>
      <c r="B284" s="28"/>
      <c r="C284" s="29"/>
      <c r="D284" s="30"/>
      <c r="E284" s="28"/>
      <c r="F284" s="29"/>
      <c r="G284" s="29"/>
      <c r="H284" s="29"/>
      <c r="I284" s="29"/>
      <c r="J284" s="29"/>
      <c r="K284" s="29"/>
      <c r="L284" s="29"/>
      <c r="M284" s="29"/>
      <c r="N284" s="30"/>
      <c r="O284" s="28"/>
      <c r="P284" s="29" t="s">
        <v>140</v>
      </c>
      <c r="Q284" s="29"/>
      <c r="R284" s="29"/>
      <c r="S284" s="29"/>
      <c r="T284" s="29"/>
      <c r="U284" s="29"/>
      <c r="V284" s="29">
        <v>2.66</v>
      </c>
      <c r="W284" s="29" t="s">
        <v>133</v>
      </c>
      <c r="X284" s="29"/>
      <c r="Y284" s="29"/>
      <c r="Z284" s="29"/>
      <c r="AA284" s="29"/>
      <c r="AB284" s="29"/>
      <c r="AC284" s="30"/>
      <c r="AD284" s="31"/>
      <c r="AE284" s="31"/>
      <c r="AF284" s="31"/>
      <c r="AG284" s="31"/>
      <c r="AH284" s="31"/>
      <c r="AI284" s="32"/>
      <c r="AN284" s="28"/>
      <c r="AO284" s="29" t="s">
        <v>140</v>
      </c>
      <c r="AP284" s="29"/>
      <c r="AQ284" s="29"/>
      <c r="AR284" s="29"/>
      <c r="AS284" s="29"/>
      <c r="AT284" s="29"/>
      <c r="AU284" s="29">
        <v>2.66</v>
      </c>
      <c r="AV284" s="29" t="s">
        <v>133</v>
      </c>
      <c r="AW284" s="29"/>
      <c r="AX284" s="29"/>
      <c r="AY284" s="29"/>
      <c r="AZ284" s="29"/>
    </row>
    <row r="285" spans="1:52" x14ac:dyDescent="0.25">
      <c r="A285" s="27"/>
      <c r="B285" s="28"/>
      <c r="C285" s="29"/>
      <c r="D285" s="30"/>
      <c r="E285" s="28"/>
      <c r="F285" s="29"/>
      <c r="G285" s="29"/>
      <c r="H285" s="29"/>
      <c r="I285" s="29"/>
      <c r="J285" s="29"/>
      <c r="K285" s="29"/>
      <c r="L285" s="29"/>
      <c r="M285" s="29"/>
      <c r="N285" s="30"/>
      <c r="O285" s="28"/>
      <c r="P285" s="29" t="s">
        <v>134</v>
      </c>
      <c r="Q285" s="29"/>
      <c r="R285" s="29"/>
      <c r="S285" s="29"/>
      <c r="T285" s="29"/>
      <c r="U285" s="43" t="s">
        <v>29</v>
      </c>
      <c r="V285" s="63">
        <f>V283*V284</f>
        <v>47.381250000000009</v>
      </c>
      <c r="W285" s="63" t="s">
        <v>133</v>
      </c>
      <c r="X285" s="29"/>
      <c r="Y285" s="29"/>
      <c r="Z285" s="29"/>
      <c r="AA285" s="29"/>
      <c r="AB285" s="29"/>
      <c r="AC285" s="30"/>
      <c r="AD285" s="31"/>
      <c r="AE285" s="31"/>
      <c r="AF285" s="31"/>
      <c r="AG285" s="31"/>
      <c r="AH285" s="31"/>
      <c r="AI285" s="32"/>
      <c r="AN285" s="28"/>
      <c r="AO285" s="29" t="s">
        <v>134</v>
      </c>
      <c r="AP285" s="29"/>
      <c r="AQ285" s="29"/>
      <c r="AR285" s="29"/>
      <c r="AS285" s="29"/>
      <c r="AT285" s="43" t="s">
        <v>29</v>
      </c>
      <c r="AU285" s="63">
        <f>AU283*AU284</f>
        <v>1.0529166666666667</v>
      </c>
      <c r="AV285" s="63" t="s">
        <v>133</v>
      </c>
      <c r="AW285" s="29"/>
      <c r="AX285" s="29"/>
      <c r="AY285" s="29"/>
      <c r="AZ285" s="29"/>
    </row>
    <row r="286" spans="1:52" x14ac:dyDescent="0.25">
      <c r="A286" s="27"/>
      <c r="B286" s="28"/>
      <c r="C286" s="29"/>
      <c r="D286" s="30"/>
      <c r="E286" s="28"/>
      <c r="F286" s="29"/>
      <c r="G286" s="29"/>
      <c r="H286" s="29"/>
      <c r="I286" s="29"/>
      <c r="J286" s="29"/>
      <c r="K286" s="29"/>
      <c r="L286" s="29"/>
      <c r="M286" s="29"/>
      <c r="N286" s="30"/>
      <c r="O286" s="28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30"/>
      <c r="AD286" s="31"/>
      <c r="AE286" s="31"/>
      <c r="AF286" s="31"/>
      <c r="AG286" s="31"/>
      <c r="AH286" s="31"/>
      <c r="AI286" s="32"/>
    </row>
    <row r="287" spans="1:52" x14ac:dyDescent="0.25">
      <c r="A287" s="27"/>
      <c r="B287" s="28"/>
      <c r="C287" s="29"/>
      <c r="D287" s="30"/>
      <c r="E287" s="28"/>
      <c r="F287" s="29"/>
      <c r="G287" s="29"/>
      <c r="H287" s="29"/>
      <c r="I287" s="29"/>
      <c r="J287" s="29"/>
      <c r="K287" s="29"/>
      <c r="L287" s="29"/>
      <c r="M287" s="29"/>
      <c r="N287" s="30"/>
      <c r="O287" s="65" t="s">
        <v>144</v>
      </c>
      <c r="P287" s="62" t="s">
        <v>350</v>
      </c>
      <c r="Q287" s="29"/>
      <c r="R287" s="29"/>
      <c r="S287" s="57"/>
      <c r="T287" s="57"/>
      <c r="U287" s="57"/>
      <c r="V287" s="57"/>
      <c r="W287" s="29"/>
      <c r="X287" s="29"/>
      <c r="Y287" s="29"/>
      <c r="Z287" s="29"/>
      <c r="AA287" s="29"/>
      <c r="AB287" s="29"/>
      <c r="AC287" s="30"/>
      <c r="AD287" s="31"/>
      <c r="AE287" s="39">
        <f>T292</f>
        <v>22.5</v>
      </c>
      <c r="AF287" s="31"/>
      <c r="AG287" s="31"/>
      <c r="AH287" s="31"/>
      <c r="AI287" s="32"/>
    </row>
    <row r="288" spans="1:52" x14ac:dyDescent="0.25">
      <c r="A288" s="27"/>
      <c r="B288" s="28"/>
      <c r="C288" s="29"/>
      <c r="D288" s="30"/>
      <c r="E288" s="28"/>
      <c r="F288" s="29"/>
      <c r="G288" s="29"/>
      <c r="H288" s="29"/>
      <c r="I288" s="29"/>
      <c r="J288" s="29"/>
      <c r="K288" s="29"/>
      <c r="L288" s="29"/>
      <c r="M288" s="29"/>
      <c r="N288" s="30"/>
      <c r="O288" s="28"/>
      <c r="P288" s="29" t="s">
        <v>21</v>
      </c>
      <c r="Q288" s="29"/>
      <c r="R288" s="29"/>
      <c r="S288" s="29">
        <f>V268</f>
        <v>45</v>
      </c>
      <c r="T288" s="29"/>
      <c r="U288" s="29"/>
      <c r="V288" s="29"/>
      <c r="W288" s="29"/>
      <c r="X288" s="29"/>
      <c r="Y288" s="29"/>
      <c r="Z288" s="29"/>
      <c r="AA288" s="29"/>
      <c r="AB288" s="29"/>
      <c r="AC288" s="30"/>
      <c r="AD288" s="31"/>
      <c r="AE288" s="31"/>
      <c r="AF288" s="31"/>
      <c r="AG288" s="31"/>
      <c r="AH288" s="31"/>
      <c r="AI288" s="32"/>
    </row>
    <row r="289" spans="1:48" x14ac:dyDescent="0.25">
      <c r="A289" s="27"/>
      <c r="B289" s="28"/>
      <c r="C289" s="29"/>
      <c r="D289" s="30"/>
      <c r="E289" s="28"/>
      <c r="F289" s="29"/>
      <c r="G289" s="29"/>
      <c r="H289" s="29"/>
      <c r="I289" s="29"/>
      <c r="J289" s="29"/>
      <c r="K289" s="29"/>
      <c r="L289" s="29"/>
      <c r="M289" s="29"/>
      <c r="N289" s="30"/>
      <c r="O289" s="28"/>
      <c r="P289" s="29" t="s">
        <v>69</v>
      </c>
      <c r="Q289" s="29"/>
      <c r="R289" s="29"/>
      <c r="S289" s="29">
        <f>E271</f>
        <v>0.25</v>
      </c>
      <c r="T289" s="29"/>
      <c r="U289" s="29"/>
      <c r="V289" s="29"/>
      <c r="W289" s="29"/>
      <c r="X289" s="29"/>
      <c r="Y289" s="29"/>
      <c r="Z289" s="29"/>
      <c r="AA289" s="29"/>
      <c r="AB289" s="29"/>
      <c r="AC289" s="30"/>
      <c r="AD289" s="31"/>
      <c r="AE289" s="31"/>
      <c r="AF289" s="31"/>
      <c r="AG289" s="31"/>
      <c r="AH289" s="31"/>
      <c r="AI289" s="32"/>
    </row>
    <row r="290" spans="1:48" x14ac:dyDescent="0.25">
      <c r="A290" s="27"/>
      <c r="B290" s="28"/>
      <c r="C290" s="29"/>
      <c r="D290" s="30"/>
      <c r="E290" s="28"/>
      <c r="F290" s="29"/>
      <c r="G290" s="29"/>
      <c r="H290" s="29"/>
      <c r="I290" s="29"/>
      <c r="J290" s="29"/>
      <c r="K290" s="29"/>
      <c r="L290" s="29"/>
      <c r="M290" s="29"/>
      <c r="N290" s="30"/>
      <c r="O290" s="28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30"/>
      <c r="AD290" s="31"/>
      <c r="AE290" s="31"/>
      <c r="AF290" s="31"/>
      <c r="AG290" s="31"/>
      <c r="AH290" s="31"/>
      <c r="AI290" s="32"/>
    </row>
    <row r="291" spans="1:48" x14ac:dyDescent="0.25">
      <c r="A291" s="27"/>
      <c r="B291" s="28"/>
      <c r="C291" s="29"/>
      <c r="D291" s="30"/>
      <c r="E291" s="28"/>
      <c r="F291" s="29"/>
      <c r="G291" s="29"/>
      <c r="H291" s="29"/>
      <c r="I291" s="29"/>
      <c r="J291" s="29"/>
      <c r="K291" s="29"/>
      <c r="L291" s="29"/>
      <c r="M291" s="29"/>
      <c r="N291" s="30"/>
      <c r="O291" s="28"/>
      <c r="P291" s="29" t="s">
        <v>351</v>
      </c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30"/>
      <c r="AD291" s="31"/>
      <c r="AE291" s="31"/>
      <c r="AF291" s="31"/>
      <c r="AG291" s="31"/>
      <c r="AH291" s="31"/>
      <c r="AI291" s="32"/>
    </row>
    <row r="292" spans="1:48" x14ac:dyDescent="0.25">
      <c r="A292" s="27"/>
      <c r="B292" s="28"/>
      <c r="C292" s="29"/>
      <c r="D292" s="30"/>
      <c r="E292" s="28"/>
      <c r="F292" s="29"/>
      <c r="G292" s="29"/>
      <c r="H292" s="29"/>
      <c r="I292" s="29"/>
      <c r="J292" s="29"/>
      <c r="K292" s="29"/>
      <c r="L292" s="29"/>
      <c r="M292" s="29"/>
      <c r="N292" s="30"/>
      <c r="O292" s="28"/>
      <c r="P292" s="29"/>
      <c r="Q292" s="29"/>
      <c r="R292" s="29"/>
      <c r="S292" s="29" t="s">
        <v>17</v>
      </c>
      <c r="T292" s="29">
        <f>S288*S289*2</f>
        <v>22.5</v>
      </c>
      <c r="U292" s="29" t="s">
        <v>82</v>
      </c>
      <c r="V292" s="29"/>
      <c r="W292" s="29"/>
      <c r="X292" s="29"/>
      <c r="Y292" s="29"/>
      <c r="Z292" s="29"/>
      <c r="AA292" s="29"/>
      <c r="AB292" s="29"/>
      <c r="AC292" s="30"/>
      <c r="AD292" s="31"/>
      <c r="AE292" s="31"/>
      <c r="AF292" s="31"/>
      <c r="AG292" s="31"/>
      <c r="AH292" s="31"/>
      <c r="AI292" s="32"/>
    </row>
    <row r="293" spans="1:48" x14ac:dyDescent="0.25">
      <c r="A293" s="27"/>
      <c r="B293" s="28"/>
      <c r="C293" s="29"/>
      <c r="D293" s="30"/>
      <c r="E293" s="28"/>
      <c r="F293" s="29"/>
      <c r="G293" s="29"/>
      <c r="H293" s="29"/>
      <c r="I293" s="29"/>
      <c r="J293" s="29"/>
      <c r="K293" s="29"/>
      <c r="L293" s="29"/>
      <c r="M293" s="29"/>
      <c r="N293" s="30"/>
      <c r="O293" s="28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30"/>
      <c r="AD293" s="31"/>
      <c r="AE293" s="31"/>
      <c r="AF293" s="31"/>
      <c r="AG293" s="31"/>
      <c r="AH293" s="31"/>
      <c r="AI293" s="32"/>
    </row>
    <row r="294" spans="1:48" x14ac:dyDescent="0.25">
      <c r="A294" s="27"/>
      <c r="B294" s="28"/>
      <c r="C294" s="29"/>
      <c r="D294" s="30"/>
      <c r="E294" s="28"/>
      <c r="F294" s="29"/>
      <c r="G294" s="29"/>
      <c r="H294" s="29"/>
      <c r="I294" s="29"/>
      <c r="J294" s="29"/>
      <c r="K294" s="29"/>
      <c r="L294" s="29"/>
      <c r="M294" s="29"/>
      <c r="N294" s="30"/>
      <c r="O294" s="28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30"/>
      <c r="AD294" s="31"/>
      <c r="AE294" s="31"/>
      <c r="AF294" s="31"/>
      <c r="AG294" s="31"/>
      <c r="AH294" s="31"/>
      <c r="AI294" s="32"/>
    </row>
    <row r="295" spans="1:48" x14ac:dyDescent="0.25">
      <c r="A295" s="27"/>
      <c r="B295" s="28"/>
      <c r="C295" s="29"/>
      <c r="D295" s="30"/>
      <c r="E295" s="28"/>
      <c r="F295" s="29"/>
      <c r="G295" s="29"/>
      <c r="H295" s="29"/>
      <c r="I295" s="29"/>
      <c r="J295" s="29"/>
      <c r="K295" s="29"/>
      <c r="L295" s="29"/>
      <c r="M295" s="29"/>
      <c r="N295" s="30"/>
      <c r="O295" s="65" t="s">
        <v>352</v>
      </c>
      <c r="P295" s="62" t="s">
        <v>156</v>
      </c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30"/>
      <c r="AD295" s="31"/>
      <c r="AE295" s="31"/>
      <c r="AF295" s="39">
        <f>V298</f>
        <v>2.25</v>
      </c>
      <c r="AG295" s="31"/>
      <c r="AH295" s="31"/>
      <c r="AI295" s="32"/>
    </row>
    <row r="296" spans="1:48" x14ac:dyDescent="0.25">
      <c r="A296" s="27"/>
      <c r="B296" s="28"/>
      <c r="C296" s="29"/>
      <c r="D296" s="30"/>
      <c r="E296" s="28"/>
      <c r="F296" s="29"/>
      <c r="G296" s="29"/>
      <c r="H296" s="29"/>
      <c r="I296" s="29"/>
      <c r="J296" s="29"/>
      <c r="K296" s="29"/>
      <c r="L296" s="29"/>
      <c r="M296" s="29"/>
      <c r="N296" s="30"/>
      <c r="O296" s="28"/>
      <c r="P296" s="29" t="s">
        <v>157</v>
      </c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30"/>
      <c r="AD296" s="31"/>
      <c r="AE296" s="31"/>
      <c r="AF296" s="31"/>
      <c r="AG296" s="31"/>
      <c r="AH296" s="31"/>
      <c r="AI296" s="32"/>
      <c r="AU296">
        <f>AU273+AU285</f>
        <v>4.2129166666666666</v>
      </c>
      <c r="AV296" t="s">
        <v>133</v>
      </c>
    </row>
    <row r="297" spans="1:48" x14ac:dyDescent="0.25">
      <c r="A297" s="27"/>
      <c r="B297" s="28"/>
      <c r="C297" s="29"/>
      <c r="D297" s="30"/>
      <c r="E297" s="28"/>
      <c r="F297" s="29"/>
      <c r="G297" s="29"/>
      <c r="H297" s="29"/>
      <c r="I297" s="29"/>
      <c r="J297" s="29"/>
      <c r="K297" s="29"/>
      <c r="L297" s="29"/>
      <c r="M297" s="29"/>
      <c r="N297" s="30"/>
      <c r="O297" s="28"/>
      <c r="P297" s="29"/>
      <c r="Q297" s="29"/>
      <c r="R297" s="29"/>
      <c r="S297" s="29"/>
      <c r="T297" s="29"/>
      <c r="U297" s="43" t="s">
        <v>29</v>
      </c>
      <c r="V297" s="29">
        <f>I279</f>
        <v>0.2</v>
      </c>
      <c r="W297" s="38" t="s">
        <v>16</v>
      </c>
      <c r="X297" s="29">
        <f>E271</f>
        <v>0.25</v>
      </c>
      <c r="Y297" s="38" t="s">
        <v>16</v>
      </c>
      <c r="Z297" s="29">
        <f>V268</f>
        <v>45</v>
      </c>
      <c r="AA297" s="29"/>
      <c r="AB297" s="29"/>
      <c r="AC297" s="30"/>
      <c r="AD297" s="31"/>
      <c r="AE297" s="31"/>
      <c r="AF297" s="31"/>
      <c r="AG297" s="31"/>
      <c r="AH297" s="31"/>
      <c r="AI297" s="32"/>
    </row>
    <row r="298" spans="1:48" ht="15.75" thickBot="1" x14ac:dyDescent="0.3">
      <c r="A298" s="5"/>
      <c r="B298" s="17"/>
      <c r="C298" s="18"/>
      <c r="D298" s="19"/>
      <c r="E298" s="17"/>
      <c r="F298" s="18"/>
      <c r="G298" s="18"/>
      <c r="H298" s="18"/>
      <c r="I298" s="18"/>
      <c r="J298" s="18"/>
      <c r="K298" s="18"/>
      <c r="L298" s="18"/>
      <c r="M298" s="18"/>
      <c r="N298" s="19"/>
      <c r="O298" s="17"/>
      <c r="P298" s="18"/>
      <c r="Q298" s="18"/>
      <c r="R298" s="18"/>
      <c r="S298" s="18"/>
      <c r="T298" s="18"/>
      <c r="U298" s="600" t="s">
        <v>29</v>
      </c>
      <c r="V298" s="602">
        <f>V297*X297*Z297</f>
        <v>2.25</v>
      </c>
      <c r="W298" s="602" t="s">
        <v>158</v>
      </c>
      <c r="X298" s="18"/>
      <c r="Y298" s="18"/>
      <c r="Z298" s="18"/>
      <c r="AA298" s="18"/>
      <c r="AB298" s="18"/>
      <c r="AC298" s="19"/>
      <c r="AD298" s="6"/>
      <c r="AE298" s="6"/>
      <c r="AF298" s="6"/>
      <c r="AG298" s="6"/>
      <c r="AH298" s="6"/>
      <c r="AI298" s="7"/>
      <c r="AU298">
        <f>AU296*AL269</f>
        <v>84.258333333333326</v>
      </c>
      <c r="AV298" t="s">
        <v>349</v>
      </c>
    </row>
    <row r="299" spans="1:48" ht="15.75" thickTop="1" x14ac:dyDescent="0.25">
      <c r="A299" s="597"/>
      <c r="B299" s="272"/>
      <c r="C299" s="598"/>
      <c r="D299" s="273"/>
      <c r="E299" s="272"/>
      <c r="F299" s="598"/>
      <c r="G299" s="598"/>
      <c r="H299" s="598"/>
      <c r="I299" s="598"/>
      <c r="J299" s="598"/>
      <c r="K299" s="598"/>
      <c r="L299" s="598"/>
      <c r="M299" s="598"/>
      <c r="N299" s="273"/>
      <c r="O299" s="272"/>
      <c r="P299" s="598"/>
      <c r="Q299" s="598"/>
      <c r="R299" s="598"/>
      <c r="S299" s="598"/>
      <c r="T299" s="598"/>
      <c r="U299" s="598"/>
      <c r="V299" s="598"/>
      <c r="W299" s="598"/>
      <c r="X299" s="598"/>
      <c r="Y299" s="598"/>
      <c r="Z299" s="598"/>
      <c r="AA299" s="598"/>
      <c r="AB299" s="598"/>
      <c r="AC299" s="273"/>
      <c r="AD299" s="274"/>
      <c r="AE299" s="274"/>
      <c r="AF299" s="274"/>
      <c r="AG299" s="274"/>
      <c r="AH299" s="274"/>
      <c r="AI299" s="599"/>
    </row>
    <row r="300" spans="1:48" x14ac:dyDescent="0.25">
      <c r="A300" s="27"/>
      <c r="B300" s="28"/>
      <c r="C300" s="29"/>
      <c r="D300" s="30"/>
      <c r="E300" s="28"/>
      <c r="F300" s="29"/>
      <c r="G300" s="29"/>
      <c r="H300" s="29"/>
      <c r="I300" s="29"/>
      <c r="J300" s="29"/>
      <c r="K300" s="29"/>
      <c r="L300" s="29"/>
      <c r="M300" s="29"/>
      <c r="N300" s="30"/>
      <c r="O300" s="42" t="s">
        <v>155</v>
      </c>
      <c r="P300" s="64" t="s">
        <v>148</v>
      </c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30"/>
      <c r="AD300" s="31"/>
      <c r="AE300" s="31"/>
      <c r="AF300" s="31"/>
      <c r="AG300" s="31"/>
      <c r="AH300" s="31"/>
      <c r="AI300" s="32"/>
    </row>
    <row r="301" spans="1:48" x14ac:dyDescent="0.25">
      <c r="A301" s="27"/>
      <c r="B301" s="28"/>
      <c r="C301" s="29"/>
      <c r="D301" s="30"/>
      <c r="E301" s="28"/>
      <c r="F301" s="29"/>
      <c r="G301" s="29"/>
      <c r="H301" s="29"/>
      <c r="I301" s="29"/>
      <c r="J301" s="29"/>
      <c r="K301" s="29"/>
      <c r="L301" s="29"/>
      <c r="M301" s="29"/>
      <c r="N301" s="30"/>
      <c r="O301" s="65" t="s">
        <v>79</v>
      </c>
      <c r="P301" s="62" t="s">
        <v>125</v>
      </c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30"/>
      <c r="AD301" s="31"/>
      <c r="AE301" s="31"/>
      <c r="AF301" s="31"/>
      <c r="AG301" s="31"/>
      <c r="AH301" s="37">
        <f>V327+V330</f>
        <v>156.42833333333334</v>
      </c>
      <c r="AI301" s="32" t="s">
        <v>159</v>
      </c>
    </row>
    <row r="302" spans="1:48" x14ac:dyDescent="0.25">
      <c r="A302" s="27"/>
      <c r="B302" s="28"/>
      <c r="C302" s="29"/>
      <c r="D302" s="30"/>
      <c r="E302" s="28"/>
      <c r="F302" s="29"/>
      <c r="G302" s="29"/>
      <c r="H302" s="29"/>
      <c r="I302" s="29"/>
      <c r="J302" s="29"/>
      <c r="K302" s="29"/>
      <c r="L302" s="29"/>
      <c r="M302" s="29"/>
      <c r="N302" s="30"/>
      <c r="O302" s="28"/>
      <c r="P302" s="29" t="s">
        <v>145</v>
      </c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30"/>
      <c r="AD302" s="31"/>
      <c r="AE302" s="31"/>
      <c r="AF302" s="31"/>
      <c r="AG302" s="31"/>
      <c r="AH302" s="31"/>
      <c r="AI302" s="32"/>
    </row>
    <row r="303" spans="1:48" x14ac:dyDescent="0.25">
      <c r="A303" s="27"/>
      <c r="B303" s="28"/>
      <c r="C303" s="29"/>
      <c r="D303" s="30"/>
      <c r="E303" s="28"/>
      <c r="F303" s="29"/>
      <c r="G303" s="29"/>
      <c r="H303" s="29"/>
      <c r="I303" s="29"/>
      <c r="J303" s="29"/>
      <c r="K303" s="29"/>
      <c r="L303" s="29"/>
      <c r="M303" s="29"/>
      <c r="N303" s="30"/>
      <c r="O303" s="61" t="s">
        <v>146</v>
      </c>
      <c r="P303" s="62" t="s">
        <v>147</v>
      </c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30"/>
      <c r="AD303" s="31"/>
      <c r="AE303" s="31"/>
      <c r="AF303" s="31"/>
      <c r="AG303" s="31"/>
      <c r="AH303" s="31"/>
      <c r="AI303" s="32"/>
    </row>
    <row r="304" spans="1:48" x14ac:dyDescent="0.25">
      <c r="A304" s="27"/>
      <c r="B304" s="28"/>
      <c r="C304" s="29"/>
      <c r="D304" s="30"/>
      <c r="E304" s="28"/>
      <c r="F304" s="29"/>
      <c r="G304" s="29"/>
      <c r="H304" s="29"/>
      <c r="I304" s="29"/>
      <c r="J304" s="29"/>
      <c r="K304" s="29"/>
      <c r="L304" s="29"/>
      <c r="M304" s="29"/>
      <c r="N304" s="30"/>
      <c r="O304" s="60">
        <v>1</v>
      </c>
      <c r="P304" s="29" t="s">
        <v>129</v>
      </c>
      <c r="Q304" s="29"/>
      <c r="R304" s="29"/>
      <c r="S304" s="29"/>
      <c r="T304" s="29"/>
      <c r="U304" s="43" t="s">
        <v>29</v>
      </c>
      <c r="V304" s="58">
        <v>4</v>
      </c>
      <c r="W304" s="29" t="s">
        <v>130</v>
      </c>
      <c r="X304" s="29"/>
      <c r="Y304" s="29"/>
      <c r="Z304" s="29"/>
      <c r="AA304" s="29"/>
      <c r="AB304" s="29"/>
      <c r="AC304" s="30"/>
      <c r="AD304" s="31"/>
      <c r="AE304" s="31"/>
      <c r="AF304" s="31"/>
      <c r="AG304" s="31"/>
      <c r="AH304" s="31"/>
      <c r="AI304" s="32"/>
    </row>
    <row r="305" spans="1:35" x14ac:dyDescent="0.25">
      <c r="A305" s="27"/>
      <c r="B305" s="28"/>
      <c r="C305" s="29"/>
      <c r="D305" s="30"/>
      <c r="E305" s="54">
        <v>0.15</v>
      </c>
      <c r="F305" s="29"/>
      <c r="G305" s="29"/>
      <c r="H305" s="29"/>
      <c r="I305" s="29"/>
      <c r="J305" s="29"/>
      <c r="K305" s="29"/>
      <c r="L305" s="29"/>
      <c r="M305" s="29"/>
      <c r="N305" s="30"/>
      <c r="O305" s="28"/>
      <c r="P305" s="29" t="s">
        <v>149</v>
      </c>
      <c r="Q305" s="29"/>
      <c r="R305" s="29"/>
      <c r="S305" s="29"/>
      <c r="T305" s="29"/>
      <c r="U305" s="43" t="s">
        <v>29</v>
      </c>
      <c r="V305" s="58">
        <v>3.4</v>
      </c>
      <c r="W305" s="29" t="s">
        <v>127</v>
      </c>
      <c r="X305" s="29"/>
      <c r="Y305" s="29"/>
      <c r="Z305" s="29"/>
      <c r="AA305" s="29"/>
      <c r="AB305" s="29"/>
      <c r="AC305" s="30"/>
      <c r="AD305" s="31"/>
      <c r="AE305" s="31"/>
      <c r="AF305" s="31"/>
      <c r="AG305" s="31"/>
      <c r="AH305" s="31"/>
      <c r="AI305" s="32"/>
    </row>
    <row r="306" spans="1:35" x14ac:dyDescent="0.25">
      <c r="A306" s="27"/>
      <c r="B306" s="28"/>
      <c r="C306" s="29"/>
      <c r="D306" s="30"/>
      <c r="E306" s="28"/>
      <c r="F306" s="29"/>
      <c r="G306" s="29"/>
      <c r="H306" s="29"/>
      <c r="I306" s="29"/>
      <c r="J306" s="29"/>
      <c r="K306" s="29"/>
      <c r="L306" s="29"/>
      <c r="M306" s="29"/>
      <c r="N306" s="30"/>
      <c r="O306" s="28"/>
      <c r="P306" s="29" t="s">
        <v>128</v>
      </c>
      <c r="Q306" s="29"/>
      <c r="R306" s="29"/>
      <c r="S306" s="29"/>
      <c r="T306" s="29"/>
      <c r="U306" s="43" t="s">
        <v>29</v>
      </c>
      <c r="V306" s="29">
        <f>V305</f>
        <v>3.4</v>
      </c>
      <c r="W306" s="38" t="s">
        <v>16</v>
      </c>
      <c r="X306" s="29">
        <f>V304</f>
        <v>4</v>
      </c>
      <c r="Y306" s="29"/>
      <c r="Z306" s="29"/>
      <c r="AA306" s="29"/>
      <c r="AB306" s="29"/>
      <c r="AC306" s="30"/>
      <c r="AD306" s="31"/>
      <c r="AE306" s="31"/>
      <c r="AF306" s="31"/>
      <c r="AG306" s="31"/>
      <c r="AH306" s="31"/>
      <c r="AI306" s="32"/>
    </row>
    <row r="307" spans="1:35" x14ac:dyDescent="0.25">
      <c r="A307" s="27"/>
      <c r="B307" s="28"/>
      <c r="C307" s="29"/>
      <c r="D307" s="30"/>
      <c r="E307" s="28"/>
      <c r="F307" s="29"/>
      <c r="G307" s="29"/>
      <c r="H307" s="29"/>
      <c r="I307" s="29"/>
      <c r="J307" s="29"/>
      <c r="K307" s="29"/>
      <c r="L307" s="29"/>
      <c r="M307" s="29"/>
      <c r="N307" s="30"/>
      <c r="O307" s="28"/>
      <c r="P307" s="29"/>
      <c r="Q307" s="29"/>
      <c r="R307" s="29"/>
      <c r="S307" s="29"/>
      <c r="T307" s="29"/>
      <c r="U307" s="43" t="s">
        <v>29</v>
      </c>
      <c r="V307" s="63">
        <f>V306*X306</f>
        <v>13.6</v>
      </c>
      <c r="W307" s="63" t="s">
        <v>127</v>
      </c>
      <c r="X307" s="29"/>
      <c r="Y307" s="29"/>
      <c r="Z307" s="29"/>
      <c r="AA307" s="29"/>
      <c r="AB307" s="29"/>
      <c r="AC307" s="30"/>
      <c r="AD307" s="31"/>
      <c r="AE307" s="31"/>
      <c r="AF307" s="31"/>
      <c r="AG307" s="31"/>
      <c r="AH307" s="31"/>
      <c r="AI307" s="32"/>
    </row>
    <row r="308" spans="1:35" x14ac:dyDescent="0.25">
      <c r="A308" s="27"/>
      <c r="B308" s="28"/>
      <c r="C308" s="29"/>
      <c r="D308" s="30"/>
      <c r="E308" s="28"/>
      <c r="F308" s="29"/>
      <c r="G308" s="29"/>
      <c r="H308" s="29"/>
      <c r="I308" s="29"/>
      <c r="J308" s="29"/>
      <c r="K308" s="29"/>
      <c r="L308" s="29"/>
      <c r="M308" s="29"/>
      <c r="N308" s="30"/>
      <c r="O308" s="28"/>
      <c r="P308" s="29" t="s">
        <v>131</v>
      </c>
      <c r="Q308" s="29"/>
      <c r="R308" s="29"/>
      <c r="S308" s="29"/>
      <c r="T308" s="29"/>
      <c r="U308" s="43" t="s">
        <v>29</v>
      </c>
      <c r="V308" s="63">
        <f>V307/12</f>
        <v>1.1333333333333333</v>
      </c>
      <c r="W308" s="63" t="s">
        <v>132</v>
      </c>
      <c r="X308" s="63"/>
      <c r="Y308" s="29"/>
      <c r="Z308" s="29"/>
      <c r="AA308" s="29"/>
      <c r="AB308" s="29"/>
      <c r="AC308" s="30"/>
      <c r="AD308" s="31"/>
      <c r="AE308" s="31"/>
      <c r="AF308" s="31"/>
      <c r="AG308" s="31"/>
      <c r="AH308" s="31"/>
      <c r="AI308" s="32"/>
    </row>
    <row r="309" spans="1:35" x14ac:dyDescent="0.25">
      <c r="A309" s="27"/>
      <c r="B309" s="28"/>
      <c r="C309" s="29"/>
      <c r="D309" s="30"/>
      <c r="E309" s="28"/>
      <c r="F309" s="29"/>
      <c r="G309" s="29"/>
      <c r="H309" s="29"/>
      <c r="I309" s="29"/>
      <c r="J309" s="29"/>
      <c r="K309" s="29"/>
      <c r="L309" s="29"/>
      <c r="M309" s="29"/>
      <c r="N309" s="30"/>
      <c r="O309" s="28"/>
      <c r="P309" s="29" t="s">
        <v>141</v>
      </c>
      <c r="Q309" s="29"/>
      <c r="R309" s="29"/>
      <c r="S309" s="29"/>
      <c r="T309" s="29"/>
      <c r="U309" s="29"/>
      <c r="V309" s="29">
        <v>4.74</v>
      </c>
      <c r="W309" s="29" t="s">
        <v>133</v>
      </c>
      <c r="X309" s="29"/>
      <c r="Y309" s="29"/>
      <c r="Z309" s="29"/>
      <c r="AA309" s="29"/>
      <c r="AB309" s="29"/>
      <c r="AC309" s="30"/>
      <c r="AD309" s="31"/>
      <c r="AE309" s="31"/>
      <c r="AF309" s="31"/>
      <c r="AG309" s="31"/>
      <c r="AH309" s="31"/>
      <c r="AI309" s="32"/>
    </row>
    <row r="310" spans="1:35" x14ac:dyDescent="0.25">
      <c r="A310" s="27"/>
      <c r="B310" s="28"/>
      <c r="C310" s="29"/>
      <c r="D310" s="30"/>
      <c r="E310" s="28"/>
      <c r="F310" s="29"/>
      <c r="G310" s="29"/>
      <c r="H310" s="29"/>
      <c r="I310" s="29"/>
      <c r="J310" s="29"/>
      <c r="K310" s="29"/>
      <c r="L310" s="29"/>
      <c r="M310" s="29"/>
      <c r="N310" s="30"/>
      <c r="O310" s="28"/>
      <c r="P310" s="29" t="s">
        <v>134</v>
      </c>
      <c r="Q310" s="29"/>
      <c r="R310" s="29"/>
      <c r="S310" s="29"/>
      <c r="T310" s="29"/>
      <c r="U310" s="43" t="s">
        <v>29</v>
      </c>
      <c r="V310" s="63">
        <f>V308*V309</f>
        <v>5.3719999999999999</v>
      </c>
      <c r="W310" s="63" t="s">
        <v>133</v>
      </c>
      <c r="X310" s="29"/>
      <c r="Y310" s="29"/>
      <c r="Z310" s="29"/>
      <c r="AA310" s="29"/>
      <c r="AB310" s="29"/>
      <c r="AC310" s="30"/>
      <c r="AD310" s="31"/>
      <c r="AE310" s="31"/>
      <c r="AF310" s="31"/>
      <c r="AG310" s="31"/>
      <c r="AH310" s="31"/>
      <c r="AI310" s="32"/>
    </row>
    <row r="311" spans="1:35" x14ac:dyDescent="0.25">
      <c r="A311" s="27"/>
      <c r="B311" s="28"/>
      <c r="C311" s="29"/>
      <c r="D311" s="30"/>
      <c r="E311" s="28"/>
      <c r="F311" s="29"/>
      <c r="G311" s="29"/>
      <c r="H311" s="29"/>
      <c r="I311" s="29"/>
      <c r="J311" s="29"/>
      <c r="K311" s="29"/>
      <c r="L311" s="29"/>
      <c r="M311" s="29"/>
      <c r="N311" s="30"/>
      <c r="O311" s="28"/>
      <c r="P311" s="29"/>
      <c r="Q311" s="29"/>
      <c r="R311" s="29"/>
      <c r="S311" s="29"/>
      <c r="T311" s="29"/>
      <c r="U311" s="43"/>
      <c r="V311" s="29"/>
      <c r="W311" s="29"/>
      <c r="X311" s="29"/>
      <c r="Y311" s="29"/>
      <c r="Z311" s="29"/>
      <c r="AA311" s="29"/>
      <c r="AB311" s="29"/>
      <c r="AC311" s="30"/>
      <c r="AD311" s="31"/>
      <c r="AE311" s="31"/>
      <c r="AF311" s="31"/>
      <c r="AG311" s="31"/>
      <c r="AH311" s="31"/>
      <c r="AI311" s="32"/>
    </row>
    <row r="312" spans="1:35" x14ac:dyDescent="0.25">
      <c r="A312" s="27"/>
      <c r="B312" s="28"/>
      <c r="C312" s="29"/>
      <c r="D312" s="30"/>
      <c r="E312" s="28"/>
      <c r="F312" s="29"/>
      <c r="G312" s="29"/>
      <c r="H312" s="29"/>
      <c r="I312" s="58">
        <v>0.15</v>
      </c>
      <c r="J312" s="29"/>
      <c r="K312" s="29"/>
      <c r="L312" s="29"/>
      <c r="M312" s="29"/>
      <c r="N312" s="30"/>
      <c r="O312" s="28">
        <v>2</v>
      </c>
      <c r="P312" s="29" t="s">
        <v>136</v>
      </c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30"/>
      <c r="AD312" s="31"/>
      <c r="AE312" s="31"/>
      <c r="AF312" s="31"/>
      <c r="AG312" s="31"/>
      <c r="AH312" s="31"/>
      <c r="AI312" s="32"/>
    </row>
    <row r="313" spans="1:35" x14ac:dyDescent="0.25">
      <c r="A313" s="27"/>
      <c r="B313" s="28"/>
      <c r="C313" s="29"/>
      <c r="D313" s="30"/>
      <c r="E313" s="28"/>
      <c r="F313" s="29"/>
      <c r="G313" s="29"/>
      <c r="H313" s="29"/>
      <c r="I313" s="29"/>
      <c r="J313" s="29"/>
      <c r="K313" s="29"/>
      <c r="L313" s="29"/>
      <c r="M313" s="29"/>
      <c r="N313" s="30"/>
      <c r="O313" s="28"/>
      <c r="P313" s="29" t="s">
        <v>137</v>
      </c>
      <c r="Q313" s="29"/>
      <c r="R313" s="29"/>
      <c r="S313" s="29"/>
      <c r="T313" s="29"/>
      <c r="U313" s="43" t="s">
        <v>29</v>
      </c>
      <c r="V313" s="29">
        <f>0.15*4</f>
        <v>0.6</v>
      </c>
      <c r="W313" s="29" t="s">
        <v>19</v>
      </c>
      <c r="X313" s="29">
        <v>0.05</v>
      </c>
      <c r="Y313" s="29"/>
      <c r="Z313" s="29"/>
      <c r="AA313" s="29"/>
      <c r="AB313" s="29"/>
      <c r="AC313" s="30"/>
      <c r="AD313" s="31"/>
      <c r="AE313" s="31"/>
      <c r="AF313" s="31"/>
      <c r="AG313" s="31"/>
      <c r="AH313" s="31"/>
      <c r="AI313" s="32"/>
    </row>
    <row r="314" spans="1:35" x14ac:dyDescent="0.25">
      <c r="A314" s="27"/>
      <c r="B314" s="28"/>
      <c r="C314" s="29"/>
      <c r="D314" s="30"/>
      <c r="E314" s="28"/>
      <c r="F314" s="29"/>
      <c r="G314" s="29"/>
      <c r="H314" s="29"/>
      <c r="I314" s="29"/>
      <c r="J314" s="29"/>
      <c r="K314" s="29"/>
      <c r="L314" s="29"/>
      <c r="M314" s="29"/>
      <c r="N314" s="30"/>
      <c r="O314" s="28"/>
      <c r="P314" s="29"/>
      <c r="Q314" s="29"/>
      <c r="R314" s="29"/>
      <c r="S314" s="29"/>
      <c r="T314" s="29"/>
      <c r="U314" s="43" t="s">
        <v>29</v>
      </c>
      <c r="V314" s="29">
        <f>V313+X313</f>
        <v>0.65</v>
      </c>
      <c r="W314" s="29" t="s">
        <v>127</v>
      </c>
      <c r="X314" s="29"/>
      <c r="Y314" s="29"/>
      <c r="Z314" s="29"/>
      <c r="AA314" s="29"/>
      <c r="AB314" s="29"/>
      <c r="AC314" s="30"/>
      <c r="AD314" s="31"/>
      <c r="AE314" s="31"/>
      <c r="AF314" s="31"/>
      <c r="AG314" s="31"/>
      <c r="AH314" s="31"/>
      <c r="AI314" s="32"/>
    </row>
    <row r="315" spans="1:35" x14ac:dyDescent="0.25">
      <c r="A315" s="27"/>
      <c r="B315" s="28"/>
      <c r="C315" s="29"/>
      <c r="D315" s="30"/>
      <c r="E315" s="28"/>
      <c r="F315" s="29"/>
      <c r="G315" s="29"/>
      <c r="H315" s="29"/>
      <c r="I315" s="29"/>
      <c r="J315" s="29"/>
      <c r="K315" s="29"/>
      <c r="L315" s="29"/>
      <c r="M315" s="29"/>
      <c r="N315" s="30"/>
      <c r="O315" s="28"/>
      <c r="P315" s="29" t="s">
        <v>150</v>
      </c>
      <c r="Q315" s="29"/>
      <c r="R315" s="29"/>
      <c r="S315" s="29"/>
      <c r="T315" s="29"/>
      <c r="U315" s="43"/>
      <c r="V315" s="29"/>
      <c r="W315" s="29"/>
      <c r="X315" s="29"/>
      <c r="Y315" s="29"/>
      <c r="Z315" s="29"/>
      <c r="AA315" s="29"/>
      <c r="AB315" s="29"/>
      <c r="AC315" s="30"/>
      <c r="AD315" s="31"/>
      <c r="AE315" s="31"/>
      <c r="AF315" s="31"/>
      <c r="AG315" s="31"/>
      <c r="AH315" s="31"/>
      <c r="AI315" s="32"/>
    </row>
    <row r="316" spans="1:35" x14ac:dyDescent="0.25">
      <c r="A316" s="27"/>
      <c r="B316" s="28"/>
      <c r="C316" s="29"/>
      <c r="D316" s="30"/>
      <c r="E316" s="28"/>
      <c r="F316" s="29"/>
      <c r="G316" s="29"/>
      <c r="H316" s="29"/>
      <c r="I316" s="29"/>
      <c r="J316" s="29"/>
      <c r="K316" s="29"/>
      <c r="L316" s="29"/>
      <c r="M316" s="29"/>
      <c r="N316" s="30"/>
      <c r="O316" s="28"/>
      <c r="P316" s="29"/>
      <c r="Q316" s="29"/>
      <c r="R316" s="29"/>
      <c r="S316" s="29"/>
      <c r="T316" s="29"/>
      <c r="U316" s="43" t="s">
        <v>29</v>
      </c>
      <c r="V316" s="29">
        <f>V306</f>
        <v>3.4</v>
      </c>
      <c r="W316" s="29" t="s">
        <v>138</v>
      </c>
      <c r="X316" s="58">
        <v>0.2</v>
      </c>
      <c r="Y316" s="29"/>
      <c r="Z316" s="29"/>
      <c r="AA316" s="29"/>
      <c r="AB316" s="29"/>
      <c r="AC316" s="30"/>
      <c r="AD316" s="31"/>
      <c r="AE316" s="31"/>
      <c r="AF316" s="31"/>
      <c r="AG316" s="31"/>
      <c r="AH316" s="31"/>
      <c r="AI316" s="32"/>
    </row>
    <row r="317" spans="1:35" x14ac:dyDescent="0.25">
      <c r="A317" s="27"/>
      <c r="B317" s="28"/>
      <c r="C317" s="29"/>
      <c r="D317" s="30"/>
      <c r="E317" s="28"/>
      <c r="F317" s="29"/>
      <c r="G317" s="29"/>
      <c r="H317" s="29"/>
      <c r="I317" s="29"/>
      <c r="J317" s="29"/>
      <c r="K317" s="29"/>
      <c r="L317" s="29"/>
      <c r="M317" s="29"/>
      <c r="N317" s="30"/>
      <c r="O317" s="28"/>
      <c r="P317" s="29"/>
      <c r="Q317" s="29"/>
      <c r="R317" s="29"/>
      <c r="S317" s="29"/>
      <c r="T317" s="29"/>
      <c r="U317" s="43" t="s">
        <v>29</v>
      </c>
      <c r="V317" s="29">
        <f>V316/X316</f>
        <v>17</v>
      </c>
      <c r="W317" s="29" t="s">
        <v>130</v>
      </c>
      <c r="X317" s="29"/>
      <c r="Y317" s="29"/>
      <c r="Z317" s="29"/>
      <c r="AA317" s="29"/>
      <c r="AB317" s="29"/>
      <c r="AC317" s="30"/>
      <c r="AD317" s="31"/>
      <c r="AE317" s="31"/>
      <c r="AF317" s="31"/>
      <c r="AG317" s="31"/>
      <c r="AH317" s="31"/>
      <c r="AI317" s="32"/>
    </row>
    <row r="318" spans="1:35" x14ac:dyDescent="0.25">
      <c r="A318" s="27"/>
      <c r="B318" s="28"/>
      <c r="C318" s="29"/>
      <c r="D318" s="30"/>
      <c r="E318" s="28"/>
      <c r="F318" s="29"/>
      <c r="G318" s="29"/>
      <c r="H318" s="29"/>
      <c r="I318" s="29"/>
      <c r="J318" s="29"/>
      <c r="K318" s="29"/>
      <c r="L318" s="29"/>
      <c r="M318" s="29"/>
      <c r="N318" s="30"/>
      <c r="O318" s="28"/>
      <c r="P318" s="29" t="s">
        <v>142</v>
      </c>
      <c r="Q318" s="29"/>
      <c r="R318" s="29"/>
      <c r="S318" s="29"/>
      <c r="T318" s="29"/>
      <c r="U318" s="43"/>
      <c r="V318" s="29">
        <f>V314</f>
        <v>0.65</v>
      </c>
      <c r="W318" s="29" t="s">
        <v>127</v>
      </c>
      <c r="X318" s="29"/>
      <c r="Y318" s="29"/>
      <c r="Z318" s="29"/>
      <c r="AA318" s="29"/>
      <c r="AB318" s="29"/>
      <c r="AC318" s="30"/>
      <c r="AD318" s="31"/>
      <c r="AE318" s="31"/>
      <c r="AF318" s="31"/>
      <c r="AG318" s="31"/>
      <c r="AH318" s="31"/>
      <c r="AI318" s="32"/>
    </row>
    <row r="319" spans="1:35" x14ac:dyDescent="0.25">
      <c r="A319" s="27"/>
      <c r="B319" s="28"/>
      <c r="C319" s="29"/>
      <c r="D319" s="30"/>
      <c r="E319" s="28"/>
      <c r="F319" s="29"/>
      <c r="G319" s="29"/>
      <c r="H319" s="29"/>
      <c r="I319" s="29"/>
      <c r="J319" s="29"/>
      <c r="K319" s="29"/>
      <c r="L319" s="29"/>
      <c r="M319" s="29"/>
      <c r="N319" s="30"/>
      <c r="O319" s="28"/>
      <c r="P319" s="29" t="s">
        <v>143</v>
      </c>
      <c r="Q319" s="29"/>
      <c r="R319" s="29"/>
      <c r="S319" s="29"/>
      <c r="T319" s="29"/>
      <c r="U319" s="43" t="s">
        <v>29</v>
      </c>
      <c r="V319" s="63">
        <f>V318*V317</f>
        <v>11.05</v>
      </c>
      <c r="W319" s="63" t="s">
        <v>127</v>
      </c>
      <c r="X319" s="29"/>
      <c r="Y319" s="29"/>
      <c r="Z319" s="29"/>
      <c r="AA319" s="29"/>
      <c r="AB319" s="29"/>
      <c r="AC319" s="30"/>
      <c r="AD319" s="31"/>
      <c r="AE319" s="31"/>
      <c r="AF319" s="31"/>
      <c r="AG319" s="31"/>
      <c r="AH319" s="31"/>
      <c r="AI319" s="32"/>
    </row>
    <row r="320" spans="1:35" x14ac:dyDescent="0.25">
      <c r="A320" s="27"/>
      <c r="B320" s="28"/>
      <c r="C320" s="29"/>
      <c r="D320" s="30"/>
      <c r="E320" s="28"/>
      <c r="F320" s="29"/>
      <c r="G320" s="29"/>
      <c r="H320" s="29"/>
      <c r="I320" s="29"/>
      <c r="J320" s="29"/>
      <c r="K320" s="29"/>
      <c r="L320" s="29"/>
      <c r="M320" s="29"/>
      <c r="N320" s="30"/>
      <c r="O320" s="28"/>
      <c r="P320" s="29" t="s">
        <v>131</v>
      </c>
      <c r="Q320" s="29"/>
      <c r="R320" s="29"/>
      <c r="S320" s="29"/>
      <c r="T320" s="29"/>
      <c r="U320" s="43" t="s">
        <v>29</v>
      </c>
      <c r="V320" s="63">
        <f>V319/12</f>
        <v>0.92083333333333339</v>
      </c>
      <c r="W320" s="63" t="s">
        <v>132</v>
      </c>
      <c r="X320" s="63"/>
      <c r="Y320" s="29"/>
      <c r="Z320" s="29"/>
      <c r="AA320" s="29"/>
      <c r="AB320" s="29"/>
      <c r="AC320" s="30"/>
      <c r="AD320" s="31"/>
      <c r="AE320" s="31"/>
      <c r="AF320" s="31"/>
      <c r="AG320" s="31"/>
      <c r="AH320" s="31"/>
      <c r="AI320" s="32"/>
    </row>
    <row r="321" spans="1:35" x14ac:dyDescent="0.25">
      <c r="A321" s="27"/>
      <c r="B321" s="28"/>
      <c r="C321" s="29"/>
      <c r="D321" s="30"/>
      <c r="E321" s="28"/>
      <c r="F321" s="29"/>
      <c r="G321" s="29"/>
      <c r="H321" s="29"/>
      <c r="I321" s="29"/>
      <c r="J321" s="29"/>
      <c r="K321" s="29"/>
      <c r="L321" s="29"/>
      <c r="M321" s="29"/>
      <c r="N321" s="30"/>
      <c r="O321" s="28"/>
      <c r="P321" s="29" t="s">
        <v>140</v>
      </c>
      <c r="Q321" s="29"/>
      <c r="R321" s="29"/>
      <c r="S321" s="29"/>
      <c r="T321" s="29"/>
      <c r="U321" s="29"/>
      <c r="V321" s="29">
        <v>2.66</v>
      </c>
      <c r="W321" s="29" t="s">
        <v>133</v>
      </c>
      <c r="X321" s="29"/>
      <c r="Y321" s="29"/>
      <c r="Z321" s="29"/>
      <c r="AA321" s="29"/>
      <c r="AB321" s="29"/>
      <c r="AC321" s="30"/>
      <c r="AD321" s="31"/>
      <c r="AE321" s="31"/>
      <c r="AF321" s="31"/>
      <c r="AG321" s="31"/>
      <c r="AH321" s="31"/>
      <c r="AI321" s="32"/>
    </row>
    <row r="322" spans="1:35" x14ac:dyDescent="0.25">
      <c r="A322" s="27"/>
      <c r="B322" s="28"/>
      <c r="C322" s="29"/>
      <c r="D322" s="30"/>
      <c r="E322" s="28"/>
      <c r="F322" s="29"/>
      <c r="G322" s="29"/>
      <c r="H322" s="29"/>
      <c r="I322" s="29"/>
      <c r="J322" s="29"/>
      <c r="K322" s="29"/>
      <c r="L322" s="29"/>
      <c r="M322" s="29"/>
      <c r="N322" s="30"/>
      <c r="O322" s="28"/>
      <c r="P322" s="29" t="s">
        <v>134</v>
      </c>
      <c r="Q322" s="29"/>
      <c r="R322" s="29"/>
      <c r="S322" s="29"/>
      <c r="T322" s="29"/>
      <c r="U322" s="43" t="s">
        <v>29</v>
      </c>
      <c r="V322" s="63">
        <f>V320*V321</f>
        <v>2.449416666666667</v>
      </c>
      <c r="W322" s="63" t="s">
        <v>133</v>
      </c>
      <c r="X322" s="29"/>
      <c r="Y322" s="29"/>
      <c r="Z322" s="29"/>
      <c r="AA322" s="29"/>
      <c r="AB322" s="29"/>
      <c r="AC322" s="30"/>
      <c r="AD322" s="31"/>
      <c r="AE322" s="31"/>
      <c r="AF322" s="31"/>
      <c r="AG322" s="31"/>
      <c r="AH322" s="31"/>
      <c r="AI322" s="32"/>
    </row>
    <row r="323" spans="1:35" x14ac:dyDescent="0.25">
      <c r="A323" s="27"/>
      <c r="B323" s="28"/>
      <c r="C323" s="29"/>
      <c r="D323" s="30"/>
      <c r="E323" s="28"/>
      <c r="F323" s="29"/>
      <c r="G323" s="29"/>
      <c r="H323" s="29"/>
      <c r="I323" s="29"/>
      <c r="J323" s="29"/>
      <c r="K323" s="29"/>
      <c r="L323" s="29"/>
      <c r="M323" s="29"/>
      <c r="N323" s="30"/>
      <c r="O323" s="28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30"/>
      <c r="AD323" s="31"/>
      <c r="AE323" s="31"/>
      <c r="AF323" s="31"/>
      <c r="AG323" s="31"/>
      <c r="AH323" s="31"/>
      <c r="AI323" s="32"/>
    </row>
    <row r="324" spans="1:35" x14ac:dyDescent="0.25">
      <c r="A324" s="27"/>
      <c r="B324" s="28"/>
      <c r="C324" s="29"/>
      <c r="D324" s="30"/>
      <c r="E324" s="28"/>
      <c r="F324" s="29"/>
      <c r="G324" s="29"/>
      <c r="H324" s="29"/>
      <c r="I324" s="29"/>
      <c r="J324" s="29"/>
      <c r="K324" s="29"/>
      <c r="L324" s="29"/>
      <c r="M324" s="29"/>
      <c r="N324" s="30"/>
      <c r="O324" s="28"/>
      <c r="P324" s="29" t="s">
        <v>151</v>
      </c>
      <c r="Q324" s="29"/>
      <c r="R324" s="29"/>
      <c r="S324" s="29"/>
      <c r="T324" s="29"/>
      <c r="U324" s="29"/>
      <c r="V324" s="29"/>
      <c r="W324" s="58">
        <v>20</v>
      </c>
      <c r="X324" s="29" t="s">
        <v>152</v>
      </c>
      <c r="Y324" s="29"/>
      <c r="Z324" s="29"/>
      <c r="AA324" s="29"/>
      <c r="AB324" s="29"/>
      <c r="AC324" s="30"/>
      <c r="AD324" s="31"/>
      <c r="AE324" s="31"/>
      <c r="AF324" s="31"/>
      <c r="AG324" s="31"/>
      <c r="AH324" s="31"/>
      <c r="AI324" s="32"/>
    </row>
    <row r="325" spans="1:35" x14ac:dyDescent="0.25">
      <c r="A325" s="27"/>
      <c r="B325" s="28"/>
      <c r="C325" s="29"/>
      <c r="D325" s="30"/>
      <c r="E325" s="28"/>
      <c r="F325" s="29"/>
      <c r="G325" s="29"/>
      <c r="H325" s="29"/>
      <c r="I325" s="29"/>
      <c r="J325" s="29"/>
      <c r="K325" s="29"/>
      <c r="L325" s="29"/>
      <c r="M325" s="29"/>
      <c r="N325" s="30"/>
      <c r="O325" s="60" t="s">
        <v>135</v>
      </c>
      <c r="P325" s="29" t="s">
        <v>153</v>
      </c>
      <c r="Q325" s="29"/>
      <c r="R325" s="29"/>
      <c r="S325" s="29"/>
      <c r="T325" s="29"/>
      <c r="U325" s="29"/>
      <c r="V325" s="63">
        <f>V307*W324</f>
        <v>272</v>
      </c>
      <c r="W325" s="63" t="s">
        <v>127</v>
      </c>
      <c r="X325" s="29"/>
      <c r="Y325" s="29"/>
      <c r="Z325" s="29"/>
      <c r="AA325" s="29"/>
      <c r="AB325" s="29"/>
      <c r="AC325" s="30"/>
      <c r="AD325" s="31"/>
      <c r="AE325" s="31"/>
      <c r="AF325" s="31"/>
      <c r="AG325" s="31"/>
      <c r="AH325" s="31"/>
      <c r="AI325" s="32"/>
    </row>
    <row r="326" spans="1:35" x14ac:dyDescent="0.25">
      <c r="A326" s="27"/>
      <c r="B326" s="28"/>
      <c r="C326" s="29"/>
      <c r="D326" s="30"/>
      <c r="E326" s="28"/>
      <c r="F326" s="29"/>
      <c r="G326" s="29"/>
      <c r="H326" s="29"/>
      <c r="I326" s="29"/>
      <c r="J326" s="29"/>
      <c r="K326" s="29"/>
      <c r="L326" s="29"/>
      <c r="M326" s="29"/>
      <c r="N326" s="30"/>
      <c r="O326" s="28"/>
      <c r="P326" s="29"/>
      <c r="Q326" s="29"/>
      <c r="R326" s="29"/>
      <c r="S326" s="29"/>
      <c r="T326" s="29"/>
      <c r="U326" s="29"/>
      <c r="V326" s="63">
        <f>V325/12</f>
        <v>22.666666666666668</v>
      </c>
      <c r="W326" s="63" t="s">
        <v>132</v>
      </c>
      <c r="X326" s="63"/>
      <c r="Y326" s="29"/>
      <c r="Z326" s="29"/>
      <c r="AA326" s="29"/>
      <c r="AB326" s="29"/>
      <c r="AC326" s="30"/>
      <c r="AD326" s="31"/>
      <c r="AE326" s="31"/>
      <c r="AF326" s="31"/>
      <c r="AG326" s="31"/>
      <c r="AH326" s="31"/>
      <c r="AI326" s="32"/>
    </row>
    <row r="327" spans="1:35" x14ac:dyDescent="0.25">
      <c r="A327" s="27"/>
      <c r="B327" s="28"/>
      <c r="C327" s="29"/>
      <c r="D327" s="30"/>
      <c r="E327" s="28"/>
      <c r="F327" s="29"/>
      <c r="G327" s="29"/>
      <c r="H327" s="29"/>
      <c r="I327" s="29"/>
      <c r="J327" s="29"/>
      <c r="K327" s="29"/>
      <c r="L327" s="29"/>
      <c r="M327" s="29"/>
      <c r="N327" s="30"/>
      <c r="O327" s="28"/>
      <c r="P327" s="29"/>
      <c r="Q327" s="29"/>
      <c r="R327" s="29"/>
      <c r="S327" s="29"/>
      <c r="T327" s="29"/>
      <c r="U327" s="29"/>
      <c r="V327" s="63">
        <f>V326*V309</f>
        <v>107.44000000000001</v>
      </c>
      <c r="W327" s="63" t="s">
        <v>133</v>
      </c>
      <c r="X327" s="29"/>
      <c r="Y327" s="29"/>
      <c r="Z327" s="29"/>
      <c r="AA327" s="29"/>
      <c r="AB327" s="29"/>
      <c r="AC327" s="30"/>
      <c r="AD327" s="31"/>
      <c r="AE327" s="31"/>
      <c r="AF327" s="31"/>
      <c r="AG327" s="31"/>
      <c r="AH327" s="31"/>
      <c r="AI327" s="32"/>
    </row>
    <row r="328" spans="1:35" x14ac:dyDescent="0.25">
      <c r="A328" s="27"/>
      <c r="B328" s="28"/>
      <c r="C328" s="29"/>
      <c r="D328" s="30"/>
      <c r="E328" s="28"/>
      <c r="F328" s="29"/>
      <c r="G328" s="29"/>
      <c r="H328" s="29"/>
      <c r="I328" s="29"/>
      <c r="J328" s="29"/>
      <c r="K328" s="29"/>
      <c r="L328" s="29"/>
      <c r="M328" s="29"/>
      <c r="N328" s="30"/>
      <c r="O328" s="60" t="s">
        <v>135</v>
      </c>
      <c r="P328" s="29" t="s">
        <v>154</v>
      </c>
      <c r="Q328" s="29"/>
      <c r="R328" s="29"/>
      <c r="S328" s="29"/>
      <c r="T328" s="29"/>
      <c r="U328" s="29"/>
      <c r="V328" s="63">
        <f>V319*W324</f>
        <v>221</v>
      </c>
      <c r="W328" s="63" t="s">
        <v>127</v>
      </c>
      <c r="X328" s="29"/>
      <c r="Y328" s="29"/>
      <c r="Z328" s="29"/>
      <c r="AA328" s="29"/>
      <c r="AB328" s="29"/>
      <c r="AC328" s="30"/>
      <c r="AD328" s="31"/>
      <c r="AE328" s="31"/>
      <c r="AF328" s="31"/>
      <c r="AG328" s="31"/>
      <c r="AH328" s="31"/>
      <c r="AI328" s="32"/>
    </row>
    <row r="329" spans="1:35" x14ac:dyDescent="0.25">
      <c r="A329" s="27"/>
      <c r="B329" s="28"/>
      <c r="C329" s="29"/>
      <c r="D329" s="30"/>
      <c r="E329" s="28"/>
      <c r="F329" s="29"/>
      <c r="G329" s="29"/>
      <c r="H329" s="29"/>
      <c r="I329" s="29"/>
      <c r="J329" s="29"/>
      <c r="K329" s="29"/>
      <c r="L329" s="29"/>
      <c r="M329" s="29"/>
      <c r="N329" s="30"/>
      <c r="O329" s="28"/>
      <c r="P329" s="29"/>
      <c r="Q329" s="29"/>
      <c r="R329" s="29"/>
      <c r="S329" s="29"/>
      <c r="T329" s="29"/>
      <c r="U329" s="29"/>
      <c r="V329" s="63">
        <f>V328/12</f>
        <v>18.416666666666668</v>
      </c>
      <c r="W329" s="63" t="s">
        <v>132</v>
      </c>
      <c r="X329" s="63"/>
      <c r="Y329" s="29"/>
      <c r="Z329" s="29"/>
      <c r="AA329" s="29"/>
      <c r="AB329" s="29"/>
      <c r="AC329" s="30"/>
      <c r="AD329" s="31"/>
      <c r="AE329" s="31"/>
      <c r="AF329" s="31"/>
      <c r="AG329" s="31"/>
      <c r="AH329" s="31"/>
      <c r="AI329" s="32"/>
    </row>
    <row r="330" spans="1:35" x14ac:dyDescent="0.25">
      <c r="A330" s="27"/>
      <c r="B330" s="28"/>
      <c r="C330" s="29"/>
      <c r="D330" s="30"/>
      <c r="E330" s="28"/>
      <c r="F330" s="29"/>
      <c r="G330" s="29"/>
      <c r="H330" s="29"/>
      <c r="I330" s="29"/>
      <c r="J330" s="29"/>
      <c r="K330" s="29"/>
      <c r="L330" s="29"/>
      <c r="M330" s="29"/>
      <c r="N330" s="30"/>
      <c r="O330" s="28"/>
      <c r="P330" s="29"/>
      <c r="Q330" s="29"/>
      <c r="R330" s="29"/>
      <c r="S330" s="29"/>
      <c r="T330" s="29"/>
      <c r="U330" s="29"/>
      <c r="V330" s="63">
        <f>V329*V321</f>
        <v>48.988333333333337</v>
      </c>
      <c r="W330" s="63" t="s">
        <v>133</v>
      </c>
      <c r="X330" s="29"/>
      <c r="Y330" s="29"/>
      <c r="Z330" s="29"/>
      <c r="AA330" s="29"/>
      <c r="AB330" s="29"/>
      <c r="AC330" s="30"/>
      <c r="AD330" s="31"/>
      <c r="AE330" s="31"/>
      <c r="AF330" s="31"/>
      <c r="AG330" s="31"/>
      <c r="AH330" s="31"/>
      <c r="AI330" s="32"/>
    </row>
    <row r="331" spans="1:35" x14ac:dyDescent="0.25">
      <c r="A331" s="27"/>
      <c r="B331" s="28"/>
      <c r="C331" s="29"/>
      <c r="D331" s="30"/>
      <c r="E331" s="28"/>
      <c r="F331" s="29"/>
      <c r="G331" s="29"/>
      <c r="H331" s="29"/>
      <c r="I331" s="29"/>
      <c r="J331" s="29"/>
      <c r="K331" s="29"/>
      <c r="L331" s="29"/>
      <c r="M331" s="29"/>
      <c r="N331" s="30"/>
      <c r="O331" s="28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30"/>
      <c r="AD331" s="31"/>
      <c r="AE331" s="31"/>
      <c r="AF331" s="31"/>
      <c r="AG331" s="31"/>
      <c r="AH331" s="31"/>
      <c r="AI331" s="32"/>
    </row>
    <row r="332" spans="1:35" x14ac:dyDescent="0.25">
      <c r="A332" s="27"/>
      <c r="B332" s="28"/>
      <c r="C332" s="29"/>
      <c r="D332" s="30"/>
      <c r="E332" s="28"/>
      <c r="F332" s="29"/>
      <c r="G332" s="29"/>
      <c r="H332" s="29"/>
      <c r="I332" s="29"/>
      <c r="J332" s="29"/>
      <c r="K332" s="29"/>
      <c r="L332" s="29"/>
      <c r="M332" s="29"/>
      <c r="N332" s="30"/>
      <c r="O332" s="65" t="s">
        <v>144</v>
      </c>
      <c r="P332" s="62" t="s">
        <v>350</v>
      </c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30"/>
      <c r="AD332" s="31"/>
      <c r="AE332" s="39">
        <f>T338</f>
        <v>20.399999999999999</v>
      </c>
      <c r="AF332" s="31"/>
      <c r="AG332" s="31"/>
      <c r="AH332" s="31"/>
      <c r="AI332" s="32"/>
    </row>
    <row r="333" spans="1:35" x14ac:dyDescent="0.25">
      <c r="A333" s="27"/>
      <c r="B333" s="28"/>
      <c r="C333" s="29"/>
      <c r="D333" s="30"/>
      <c r="E333" s="28"/>
      <c r="F333" s="29"/>
      <c r="G333" s="29"/>
      <c r="H333" s="29"/>
      <c r="I333" s="29"/>
      <c r="J333" s="29"/>
      <c r="K333" s="29"/>
      <c r="L333" s="29"/>
      <c r="M333" s="29"/>
      <c r="N333" s="30"/>
      <c r="O333" s="28"/>
      <c r="P333" s="29" t="s">
        <v>69</v>
      </c>
      <c r="Q333" s="29"/>
      <c r="R333" s="29"/>
      <c r="S333" s="29"/>
      <c r="T333" s="29"/>
      <c r="U333" s="29">
        <f>V305</f>
        <v>3.4</v>
      </c>
      <c r="V333" s="29" t="s">
        <v>127</v>
      </c>
      <c r="W333" s="29"/>
      <c r="X333" s="29"/>
      <c r="Y333" s="29"/>
      <c r="Z333" s="29"/>
      <c r="AA333" s="29"/>
      <c r="AB333" s="29"/>
      <c r="AC333" s="30"/>
      <c r="AD333" s="31"/>
      <c r="AE333" s="31"/>
      <c r="AF333" s="31"/>
      <c r="AG333" s="31"/>
      <c r="AH333" s="31"/>
      <c r="AI333" s="32"/>
    </row>
    <row r="334" spans="1:35" x14ac:dyDescent="0.25">
      <c r="A334" s="27"/>
      <c r="B334" s="28"/>
      <c r="C334" s="29"/>
      <c r="D334" s="30"/>
      <c r="E334" s="28"/>
      <c r="F334" s="29"/>
      <c r="G334" s="29"/>
      <c r="H334" s="29"/>
      <c r="I334" s="29"/>
      <c r="J334" s="29"/>
      <c r="K334" s="29"/>
      <c r="L334" s="29"/>
      <c r="M334" s="29"/>
      <c r="N334" s="30"/>
      <c r="O334" s="28"/>
      <c r="P334" s="29" t="s">
        <v>22</v>
      </c>
      <c r="Q334" s="29"/>
      <c r="R334" s="29"/>
      <c r="S334" s="29"/>
      <c r="T334" s="29"/>
      <c r="U334" s="79">
        <f>I312</f>
        <v>0.15</v>
      </c>
      <c r="V334" s="29" t="s">
        <v>127</v>
      </c>
      <c r="W334" s="29"/>
      <c r="X334" s="29"/>
      <c r="Y334" s="29"/>
      <c r="Z334" s="29"/>
      <c r="AA334" s="29"/>
      <c r="AB334" s="29"/>
      <c r="AC334" s="30"/>
      <c r="AD334" s="31"/>
      <c r="AE334" s="31"/>
      <c r="AF334" s="31"/>
      <c r="AG334" s="31"/>
      <c r="AH334" s="31"/>
      <c r="AI334" s="32"/>
    </row>
    <row r="335" spans="1:35" x14ac:dyDescent="0.25">
      <c r="A335" s="27"/>
      <c r="B335" s="28"/>
      <c r="C335" s="29"/>
      <c r="D335" s="30"/>
      <c r="E335" s="28"/>
      <c r="F335" s="29"/>
      <c r="G335" s="29"/>
      <c r="H335" s="29"/>
      <c r="I335" s="29"/>
      <c r="J335" s="29"/>
      <c r="K335" s="29"/>
      <c r="L335" s="29"/>
      <c r="M335" s="29"/>
      <c r="N335" s="30"/>
      <c r="O335" s="28"/>
      <c r="P335" s="29" t="s">
        <v>353</v>
      </c>
      <c r="Q335" s="29"/>
      <c r="R335" s="29"/>
      <c r="S335" s="29"/>
      <c r="T335" s="29"/>
      <c r="U335" s="29">
        <f>W324</f>
        <v>20</v>
      </c>
      <c r="V335" s="29" t="s">
        <v>130</v>
      </c>
      <c r="W335" s="29"/>
      <c r="X335" s="29"/>
      <c r="Y335" s="29"/>
      <c r="Z335" s="29"/>
      <c r="AA335" s="29"/>
      <c r="AB335" s="29"/>
      <c r="AC335" s="30"/>
      <c r="AD335" s="31"/>
      <c r="AE335" s="31"/>
      <c r="AF335" s="31"/>
      <c r="AG335" s="31"/>
      <c r="AH335" s="31"/>
      <c r="AI335" s="32"/>
    </row>
    <row r="336" spans="1:35" x14ac:dyDescent="0.25">
      <c r="A336" s="27"/>
      <c r="B336" s="28"/>
      <c r="C336" s="29"/>
      <c r="D336" s="30"/>
      <c r="E336" s="28"/>
      <c r="F336" s="29"/>
      <c r="G336" s="29"/>
      <c r="H336" s="29"/>
      <c r="I336" s="29"/>
      <c r="J336" s="29"/>
      <c r="K336" s="29"/>
      <c r="L336" s="29"/>
      <c r="M336" s="29"/>
      <c r="N336" s="30"/>
      <c r="O336" s="28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30"/>
      <c r="AD336" s="31"/>
      <c r="AE336" s="31"/>
      <c r="AF336" s="31"/>
      <c r="AG336" s="31"/>
      <c r="AH336" s="31"/>
      <c r="AI336" s="32"/>
    </row>
    <row r="337" spans="1:35" x14ac:dyDescent="0.25">
      <c r="A337" s="27"/>
      <c r="B337" s="28"/>
      <c r="C337" s="29"/>
      <c r="D337" s="30"/>
      <c r="E337" s="28"/>
      <c r="F337" s="29"/>
      <c r="G337" s="29"/>
      <c r="H337" s="29"/>
      <c r="I337" s="29"/>
      <c r="J337" s="29"/>
      <c r="K337" s="29"/>
      <c r="L337" s="29"/>
      <c r="M337" s="29"/>
      <c r="N337" s="30"/>
      <c r="O337" s="28"/>
      <c r="P337" s="29" t="s">
        <v>354</v>
      </c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30"/>
      <c r="AD337" s="31"/>
      <c r="AE337" s="31"/>
      <c r="AF337" s="31"/>
      <c r="AG337" s="31"/>
      <c r="AH337" s="31"/>
      <c r="AI337" s="32"/>
    </row>
    <row r="338" spans="1:35" x14ac:dyDescent="0.25">
      <c r="A338" s="27"/>
      <c r="B338" s="28"/>
      <c r="C338" s="29"/>
      <c r="D338" s="30"/>
      <c r="E338" s="28"/>
      <c r="F338" s="29"/>
      <c r="G338" s="29"/>
      <c r="H338" s="29"/>
      <c r="I338" s="29"/>
      <c r="J338" s="29"/>
      <c r="K338" s="29"/>
      <c r="L338" s="29"/>
      <c r="M338" s="29"/>
      <c r="N338" s="30"/>
      <c r="O338" s="28"/>
      <c r="P338" s="29"/>
      <c r="Q338" s="29"/>
      <c r="R338" s="29"/>
      <c r="S338" s="29" t="s">
        <v>17</v>
      </c>
      <c r="T338" s="29">
        <f>U333*U334*2*U335</f>
        <v>20.399999999999999</v>
      </c>
      <c r="U338" s="29" t="s">
        <v>82</v>
      </c>
      <c r="V338" s="29"/>
      <c r="W338" s="29"/>
      <c r="X338" s="29"/>
      <c r="Y338" s="29"/>
      <c r="Z338" s="29"/>
      <c r="AA338" s="29"/>
      <c r="AB338" s="29"/>
      <c r="AC338" s="30"/>
      <c r="AD338" s="31"/>
      <c r="AE338" s="31"/>
      <c r="AF338" s="31"/>
      <c r="AG338" s="31"/>
      <c r="AH338" s="31"/>
      <c r="AI338" s="32"/>
    </row>
    <row r="339" spans="1:35" x14ac:dyDescent="0.25">
      <c r="A339" s="27"/>
      <c r="B339" s="28"/>
      <c r="C339" s="29"/>
      <c r="D339" s="30"/>
      <c r="E339" s="28"/>
      <c r="F339" s="29"/>
      <c r="G339" s="29"/>
      <c r="H339" s="29"/>
      <c r="I339" s="29"/>
      <c r="J339" s="29"/>
      <c r="K339" s="29"/>
      <c r="L339" s="29"/>
      <c r="M339" s="29"/>
      <c r="N339" s="30"/>
      <c r="O339" s="28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30"/>
      <c r="AD339" s="31"/>
      <c r="AE339" s="31"/>
      <c r="AF339" s="31"/>
      <c r="AG339" s="31"/>
      <c r="AH339" s="31"/>
      <c r="AI339" s="32"/>
    </row>
    <row r="340" spans="1:35" x14ac:dyDescent="0.25">
      <c r="A340" s="27"/>
      <c r="B340" s="28"/>
      <c r="C340" s="29"/>
      <c r="D340" s="30"/>
      <c r="E340" s="28"/>
      <c r="F340" s="29"/>
      <c r="G340" s="29"/>
      <c r="H340" s="29"/>
      <c r="I340" s="29"/>
      <c r="J340" s="29"/>
      <c r="K340" s="29"/>
      <c r="L340" s="29"/>
      <c r="M340" s="29"/>
      <c r="N340" s="30"/>
      <c r="O340" s="65" t="s">
        <v>352</v>
      </c>
      <c r="P340" s="62" t="s">
        <v>156</v>
      </c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30"/>
      <c r="AD340" s="31"/>
      <c r="AE340" s="31"/>
      <c r="AF340" s="37">
        <f>V343</f>
        <v>1.53</v>
      </c>
      <c r="AG340" s="31"/>
      <c r="AH340" s="31"/>
      <c r="AI340" s="32"/>
    </row>
    <row r="341" spans="1:35" x14ac:dyDescent="0.25">
      <c r="A341" s="27"/>
      <c r="B341" s="28"/>
      <c r="C341" s="29"/>
      <c r="D341" s="30"/>
      <c r="E341" s="28"/>
      <c r="F341" s="29"/>
      <c r="G341" s="29"/>
      <c r="H341" s="29"/>
      <c r="I341" s="29"/>
      <c r="J341" s="29"/>
      <c r="K341" s="29"/>
      <c r="L341" s="29"/>
      <c r="M341" s="29"/>
      <c r="N341" s="30"/>
      <c r="O341" s="28"/>
      <c r="P341" s="29" t="s">
        <v>162</v>
      </c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30"/>
      <c r="AD341" s="31"/>
      <c r="AE341" s="31"/>
      <c r="AF341" s="31"/>
      <c r="AG341" s="31"/>
      <c r="AH341" s="31"/>
      <c r="AI341" s="32"/>
    </row>
    <row r="342" spans="1:35" x14ac:dyDescent="0.25">
      <c r="A342" s="27"/>
      <c r="B342" s="28"/>
      <c r="C342" s="29"/>
      <c r="D342" s="30"/>
      <c r="E342" s="28"/>
      <c r="F342" s="29"/>
      <c r="G342" s="29"/>
      <c r="H342" s="29"/>
      <c r="I342" s="29"/>
      <c r="J342" s="29"/>
      <c r="K342" s="29"/>
      <c r="L342" s="29"/>
      <c r="M342" s="29"/>
      <c r="N342" s="30"/>
      <c r="O342" s="28"/>
      <c r="P342" s="29"/>
      <c r="Q342" s="29"/>
      <c r="R342" s="29"/>
      <c r="S342" s="29"/>
      <c r="T342" s="29"/>
      <c r="U342" s="43" t="s">
        <v>29</v>
      </c>
      <c r="V342" s="29">
        <f>I312</f>
        <v>0.15</v>
      </c>
      <c r="W342" s="38" t="s">
        <v>16</v>
      </c>
      <c r="X342" s="29">
        <f>E305</f>
        <v>0.15</v>
      </c>
      <c r="Y342" s="38" t="s">
        <v>16</v>
      </c>
      <c r="Z342" s="29">
        <f>V305*W324</f>
        <v>68</v>
      </c>
      <c r="AA342" s="29"/>
      <c r="AB342" s="29"/>
      <c r="AC342" s="30"/>
      <c r="AD342" s="31"/>
      <c r="AE342" s="31"/>
      <c r="AF342" s="31"/>
      <c r="AG342" s="31"/>
      <c r="AH342" s="31"/>
      <c r="AI342" s="32"/>
    </row>
    <row r="343" spans="1:35" ht="15.75" thickBot="1" x14ac:dyDescent="0.3">
      <c r="A343" s="5"/>
      <c r="B343" s="17"/>
      <c r="C343" s="18"/>
      <c r="D343" s="19"/>
      <c r="E343" s="17"/>
      <c r="F343" s="18"/>
      <c r="G343" s="18"/>
      <c r="H343" s="18"/>
      <c r="I343" s="18"/>
      <c r="J343" s="18"/>
      <c r="K343" s="18"/>
      <c r="L343" s="18"/>
      <c r="M343" s="18"/>
      <c r="N343" s="19"/>
      <c r="O343" s="17"/>
      <c r="P343" s="18"/>
      <c r="Q343" s="18"/>
      <c r="R343" s="18"/>
      <c r="S343" s="18"/>
      <c r="T343" s="18"/>
      <c r="U343" s="600" t="s">
        <v>29</v>
      </c>
      <c r="V343" s="603">
        <f>V342*X342*Z342</f>
        <v>1.53</v>
      </c>
      <c r="W343" s="602" t="s">
        <v>158</v>
      </c>
      <c r="X343" s="18"/>
      <c r="Y343" s="18"/>
      <c r="Z343" s="18"/>
      <c r="AA343" s="18"/>
      <c r="AB343" s="18"/>
      <c r="AC343" s="19"/>
      <c r="AD343" s="6"/>
      <c r="AE343" s="6"/>
      <c r="AF343" s="6"/>
      <c r="AG343" s="6"/>
      <c r="AH343" s="6"/>
      <c r="AI343" s="7"/>
    </row>
    <row r="344" spans="1:35" ht="15.75" thickTop="1" x14ac:dyDescent="0.25">
      <c r="A344" s="597"/>
      <c r="B344" s="272"/>
      <c r="C344" s="598"/>
      <c r="D344" s="273"/>
      <c r="E344" s="272"/>
      <c r="F344" s="598"/>
      <c r="G344" s="598"/>
      <c r="H344" s="598"/>
      <c r="I344" s="598"/>
      <c r="J344" s="598"/>
      <c r="K344" s="598"/>
      <c r="L344" s="598"/>
      <c r="M344" s="598"/>
      <c r="N344" s="273"/>
      <c r="O344" s="272"/>
      <c r="P344" s="598"/>
      <c r="Q344" s="598"/>
      <c r="R344" s="598"/>
      <c r="S344" s="598"/>
      <c r="T344" s="598"/>
      <c r="U344" s="598"/>
      <c r="V344" s="598"/>
      <c r="W344" s="598"/>
      <c r="X344" s="598"/>
      <c r="Y344" s="598"/>
      <c r="Z344" s="598"/>
      <c r="AA344" s="598"/>
      <c r="AB344" s="598"/>
      <c r="AC344" s="273"/>
      <c r="AD344" s="274"/>
      <c r="AE344" s="274"/>
      <c r="AF344" s="274"/>
      <c r="AG344" s="274"/>
      <c r="AH344" s="274"/>
      <c r="AI344" s="599"/>
    </row>
    <row r="345" spans="1:35" x14ac:dyDescent="0.25">
      <c r="A345" s="27"/>
      <c r="B345" s="28"/>
      <c r="C345" s="29"/>
      <c r="D345" s="30"/>
      <c r="E345" s="28"/>
      <c r="F345" s="29"/>
      <c r="G345" s="29"/>
      <c r="H345" s="29"/>
      <c r="I345" s="29"/>
      <c r="J345" s="29"/>
      <c r="K345" s="29"/>
      <c r="L345" s="29"/>
      <c r="M345" s="29"/>
      <c r="N345" s="30"/>
      <c r="O345" s="42" t="s">
        <v>163</v>
      </c>
      <c r="P345" s="64" t="s">
        <v>164</v>
      </c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30"/>
      <c r="AD345" s="31"/>
      <c r="AE345" s="31"/>
      <c r="AF345" s="31"/>
      <c r="AG345" s="31"/>
      <c r="AH345" s="31"/>
      <c r="AI345" s="32"/>
    </row>
    <row r="346" spans="1:35" x14ac:dyDescent="0.25">
      <c r="A346" s="27"/>
      <c r="B346" s="28"/>
      <c r="C346" s="29"/>
      <c r="D346" s="30"/>
      <c r="E346" s="28"/>
      <c r="F346" s="29"/>
      <c r="G346" s="29"/>
      <c r="H346" s="29"/>
      <c r="I346" s="29"/>
      <c r="J346" s="29"/>
      <c r="K346" s="29"/>
      <c r="L346" s="29"/>
      <c r="M346" s="29"/>
      <c r="N346" s="30"/>
      <c r="O346" s="65" t="s">
        <v>79</v>
      </c>
      <c r="P346" s="62" t="s">
        <v>125</v>
      </c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30"/>
      <c r="AD346" s="31"/>
      <c r="AE346" s="31"/>
      <c r="AF346" s="31"/>
      <c r="AG346" s="31"/>
      <c r="AH346" s="37">
        <f>V353+V365</f>
        <v>103.51875000000001</v>
      </c>
      <c r="AI346" s="32" t="s">
        <v>159</v>
      </c>
    </row>
    <row r="347" spans="1:35" x14ac:dyDescent="0.25">
      <c r="A347" s="27"/>
      <c r="B347" s="28"/>
      <c r="C347" s="29"/>
      <c r="D347" s="30"/>
      <c r="E347" s="28"/>
      <c r="F347" s="29"/>
      <c r="G347" s="29"/>
      <c r="H347" s="29"/>
      <c r="I347" s="29"/>
      <c r="J347" s="29"/>
      <c r="K347" s="29"/>
      <c r="L347" s="29"/>
      <c r="M347" s="29"/>
      <c r="N347" s="30"/>
      <c r="O347" s="60" t="s">
        <v>160</v>
      </c>
      <c r="P347" s="29" t="s">
        <v>129</v>
      </c>
      <c r="Q347" s="29"/>
      <c r="R347" s="29"/>
      <c r="S347" s="29"/>
      <c r="T347" s="29"/>
      <c r="U347" s="43" t="s">
        <v>29</v>
      </c>
      <c r="V347" s="58">
        <v>4</v>
      </c>
      <c r="W347" s="29" t="s">
        <v>130</v>
      </c>
      <c r="X347" s="29"/>
      <c r="Y347" s="29"/>
      <c r="Z347" s="29"/>
      <c r="AA347" s="29"/>
      <c r="AB347" s="29"/>
      <c r="AC347" s="30"/>
      <c r="AD347" s="31"/>
      <c r="AE347" s="31"/>
      <c r="AF347" s="31"/>
      <c r="AG347" s="31"/>
      <c r="AH347" s="31"/>
      <c r="AI347" s="32"/>
    </row>
    <row r="348" spans="1:35" x14ac:dyDescent="0.25">
      <c r="A348" s="27"/>
      <c r="B348" s="28"/>
      <c r="C348" s="29"/>
      <c r="D348" s="30"/>
      <c r="E348" s="54">
        <v>0.15</v>
      </c>
      <c r="F348" s="29"/>
      <c r="G348" s="29"/>
      <c r="H348" s="29"/>
      <c r="I348" s="29"/>
      <c r="J348" s="29"/>
      <c r="K348" s="29"/>
      <c r="L348" s="29"/>
      <c r="M348" s="29"/>
      <c r="N348" s="30"/>
      <c r="O348" s="28"/>
      <c r="P348" s="29" t="s">
        <v>165</v>
      </c>
      <c r="Q348" s="29"/>
      <c r="R348" s="29"/>
      <c r="S348" s="29"/>
      <c r="T348" s="29"/>
      <c r="U348" s="43" t="s">
        <v>29</v>
      </c>
      <c r="V348" s="29">
        <f>V90</f>
        <v>45</v>
      </c>
      <c r="W348" s="29" t="s">
        <v>127</v>
      </c>
      <c r="X348" s="29"/>
      <c r="Y348" s="29"/>
      <c r="Z348" s="29"/>
      <c r="AA348" s="29"/>
      <c r="AB348" s="29"/>
      <c r="AC348" s="30"/>
      <c r="AD348" s="31"/>
      <c r="AE348" s="31"/>
      <c r="AF348" s="31"/>
      <c r="AG348" s="31"/>
      <c r="AH348" s="31"/>
      <c r="AI348" s="32"/>
    </row>
    <row r="349" spans="1:35" x14ac:dyDescent="0.25">
      <c r="A349" s="27"/>
      <c r="B349" s="28"/>
      <c r="C349" s="29"/>
      <c r="D349" s="30"/>
      <c r="E349" s="28"/>
      <c r="F349" s="29"/>
      <c r="G349" s="29"/>
      <c r="H349" s="29"/>
      <c r="I349" s="29"/>
      <c r="J349" s="29"/>
      <c r="K349" s="29"/>
      <c r="L349" s="29"/>
      <c r="M349" s="29"/>
      <c r="N349" s="30"/>
      <c r="O349" s="28"/>
      <c r="P349" s="29" t="s">
        <v>128</v>
      </c>
      <c r="Q349" s="29"/>
      <c r="R349" s="29"/>
      <c r="S349" s="29"/>
      <c r="T349" s="29"/>
      <c r="U349" s="43" t="s">
        <v>29</v>
      </c>
      <c r="V349" s="29">
        <f>V348</f>
        <v>45</v>
      </c>
      <c r="W349" s="38" t="s">
        <v>16</v>
      </c>
      <c r="X349" s="29">
        <f>V347</f>
        <v>4</v>
      </c>
      <c r="Y349" s="29"/>
      <c r="Z349" s="29"/>
      <c r="AA349" s="29"/>
      <c r="AB349" s="29"/>
      <c r="AC349" s="30"/>
      <c r="AD349" s="31"/>
      <c r="AE349" s="31"/>
      <c r="AF349" s="31"/>
      <c r="AG349" s="31"/>
      <c r="AH349" s="31"/>
      <c r="AI349" s="32"/>
    </row>
    <row r="350" spans="1:35" x14ac:dyDescent="0.25">
      <c r="A350" s="27"/>
      <c r="B350" s="28"/>
      <c r="C350" s="29"/>
      <c r="D350" s="30"/>
      <c r="E350" s="28"/>
      <c r="F350" s="29"/>
      <c r="G350" s="29"/>
      <c r="H350" s="29"/>
      <c r="I350" s="29"/>
      <c r="J350" s="29"/>
      <c r="K350" s="29"/>
      <c r="L350" s="29"/>
      <c r="M350" s="29"/>
      <c r="N350" s="30"/>
      <c r="O350" s="28"/>
      <c r="P350" s="29"/>
      <c r="Q350" s="29"/>
      <c r="R350" s="29"/>
      <c r="S350" s="29"/>
      <c r="T350" s="29"/>
      <c r="U350" s="43" t="s">
        <v>29</v>
      </c>
      <c r="V350" s="63">
        <f>V349*X349</f>
        <v>180</v>
      </c>
      <c r="W350" s="63" t="s">
        <v>127</v>
      </c>
      <c r="X350" s="29"/>
      <c r="Y350" s="29"/>
      <c r="Z350" s="29"/>
      <c r="AA350" s="29"/>
      <c r="AB350" s="29"/>
      <c r="AC350" s="30"/>
      <c r="AD350" s="31"/>
      <c r="AE350" s="31"/>
      <c r="AF350" s="31"/>
      <c r="AG350" s="31"/>
      <c r="AH350" s="31"/>
      <c r="AI350" s="32"/>
    </row>
    <row r="351" spans="1:35" x14ac:dyDescent="0.25">
      <c r="A351" s="27"/>
      <c r="B351" s="28"/>
      <c r="C351" s="29"/>
      <c r="D351" s="30"/>
      <c r="E351" s="28"/>
      <c r="F351" s="29"/>
      <c r="G351" s="29"/>
      <c r="H351" s="29"/>
      <c r="I351" s="29"/>
      <c r="J351" s="29"/>
      <c r="K351" s="29"/>
      <c r="L351" s="29"/>
      <c r="M351" s="29"/>
      <c r="N351" s="30"/>
      <c r="O351" s="28"/>
      <c r="P351" s="29" t="s">
        <v>131</v>
      </c>
      <c r="Q351" s="29"/>
      <c r="R351" s="29"/>
      <c r="S351" s="29"/>
      <c r="T351" s="29"/>
      <c r="U351" s="43" t="s">
        <v>29</v>
      </c>
      <c r="V351" s="63">
        <f>V350/12</f>
        <v>15</v>
      </c>
      <c r="W351" s="63" t="s">
        <v>132</v>
      </c>
      <c r="X351" s="63"/>
      <c r="Y351" s="29"/>
      <c r="Z351" s="29"/>
      <c r="AA351" s="29"/>
      <c r="AB351" s="29"/>
      <c r="AC351" s="30"/>
      <c r="AD351" s="31"/>
      <c r="AE351" s="31"/>
      <c r="AF351" s="31"/>
      <c r="AG351" s="31"/>
      <c r="AH351" s="31"/>
      <c r="AI351" s="32"/>
    </row>
    <row r="352" spans="1:35" x14ac:dyDescent="0.25">
      <c r="A352" s="27"/>
      <c r="B352" s="28"/>
      <c r="C352" s="29"/>
      <c r="D352" s="30"/>
      <c r="E352" s="28"/>
      <c r="F352" s="29"/>
      <c r="G352" s="29"/>
      <c r="H352" s="29"/>
      <c r="I352" s="29"/>
      <c r="J352" s="29"/>
      <c r="K352" s="29"/>
      <c r="L352" s="29"/>
      <c r="M352" s="29"/>
      <c r="N352" s="30"/>
      <c r="O352" s="28"/>
      <c r="P352" s="29" t="s">
        <v>141</v>
      </c>
      <c r="Q352" s="29"/>
      <c r="R352" s="29"/>
      <c r="S352" s="29"/>
      <c r="T352" s="29"/>
      <c r="U352" s="29"/>
      <c r="V352" s="29">
        <v>4.74</v>
      </c>
      <c r="W352" s="29" t="s">
        <v>133</v>
      </c>
      <c r="X352" s="29"/>
      <c r="Y352" s="29"/>
      <c r="Z352" s="29"/>
      <c r="AA352" s="29"/>
      <c r="AB352" s="29"/>
      <c r="AC352" s="30"/>
      <c r="AD352" s="31"/>
      <c r="AE352" s="31"/>
      <c r="AF352" s="31"/>
      <c r="AG352" s="31"/>
      <c r="AH352" s="31"/>
      <c r="AI352" s="32"/>
    </row>
    <row r="353" spans="1:35" x14ac:dyDescent="0.25">
      <c r="A353" s="27"/>
      <c r="B353" s="28"/>
      <c r="C353" s="29"/>
      <c r="D353" s="30"/>
      <c r="E353" s="28"/>
      <c r="F353" s="29"/>
      <c r="G353" s="29"/>
      <c r="H353" s="29"/>
      <c r="I353" s="29"/>
      <c r="J353" s="29"/>
      <c r="K353" s="29"/>
      <c r="L353" s="29"/>
      <c r="M353" s="29"/>
      <c r="N353" s="30"/>
      <c r="O353" s="28"/>
      <c r="P353" s="29" t="s">
        <v>134</v>
      </c>
      <c r="Q353" s="29"/>
      <c r="R353" s="29"/>
      <c r="S353" s="29"/>
      <c r="T353" s="29"/>
      <c r="U353" s="43" t="s">
        <v>29</v>
      </c>
      <c r="V353" s="63">
        <f>V351*V352</f>
        <v>71.100000000000009</v>
      </c>
      <c r="W353" s="63" t="s">
        <v>133</v>
      </c>
      <c r="X353" s="29"/>
      <c r="Y353" s="29"/>
      <c r="Z353" s="29"/>
      <c r="AA353" s="29"/>
      <c r="AB353" s="29"/>
      <c r="AC353" s="30"/>
      <c r="AD353" s="31"/>
      <c r="AE353" s="31"/>
      <c r="AF353" s="31"/>
      <c r="AG353" s="31"/>
      <c r="AH353" s="31"/>
      <c r="AI353" s="32"/>
    </row>
    <row r="354" spans="1:35" x14ac:dyDescent="0.25">
      <c r="A354" s="27"/>
      <c r="B354" s="28"/>
      <c r="C354" s="29"/>
      <c r="D354" s="30"/>
      <c r="E354" s="28"/>
      <c r="F354" s="29"/>
      <c r="G354" s="29"/>
      <c r="H354" s="29"/>
      <c r="I354" s="58">
        <v>0.15</v>
      </c>
      <c r="J354" s="29"/>
      <c r="K354" s="29"/>
      <c r="L354" s="29"/>
      <c r="M354" s="29"/>
      <c r="N354" s="30"/>
      <c r="O354" s="28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30"/>
      <c r="AD354" s="31"/>
      <c r="AE354" s="31"/>
      <c r="AF354" s="31"/>
      <c r="AG354" s="31"/>
      <c r="AH354" s="31"/>
      <c r="AI354" s="32"/>
    </row>
    <row r="355" spans="1:35" x14ac:dyDescent="0.25">
      <c r="A355" s="27"/>
      <c r="B355" s="28"/>
      <c r="C355" s="29"/>
      <c r="D355" s="30"/>
      <c r="E355" s="28"/>
      <c r="F355" s="29"/>
      <c r="G355" s="29"/>
      <c r="H355" s="29"/>
      <c r="I355" s="29"/>
      <c r="J355" s="29"/>
      <c r="K355" s="29"/>
      <c r="L355" s="29"/>
      <c r="M355" s="29"/>
      <c r="N355" s="30"/>
      <c r="O355" s="60" t="s">
        <v>161</v>
      </c>
      <c r="P355" s="29" t="s">
        <v>136</v>
      </c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30"/>
      <c r="AD355" s="31"/>
      <c r="AE355" s="31"/>
      <c r="AF355" s="31"/>
      <c r="AG355" s="31"/>
      <c r="AH355" s="31"/>
      <c r="AI355" s="32"/>
    </row>
    <row r="356" spans="1:35" x14ac:dyDescent="0.25">
      <c r="A356" s="27"/>
      <c r="B356" s="28"/>
      <c r="C356" s="29"/>
      <c r="D356" s="30"/>
      <c r="E356" s="28"/>
      <c r="F356" s="29"/>
      <c r="G356" s="29"/>
      <c r="H356" s="29"/>
      <c r="I356" s="29"/>
      <c r="J356" s="29"/>
      <c r="K356" s="29"/>
      <c r="L356" s="29"/>
      <c r="M356" s="29"/>
      <c r="N356" s="30"/>
      <c r="O356" s="28"/>
      <c r="P356" s="29" t="s">
        <v>137</v>
      </c>
      <c r="Q356" s="29"/>
      <c r="R356" s="29"/>
      <c r="S356" s="29"/>
      <c r="T356" s="29"/>
      <c r="U356" s="43" t="s">
        <v>29</v>
      </c>
      <c r="V356" s="29">
        <f>0.15*4</f>
        <v>0.6</v>
      </c>
      <c r="W356" s="29" t="s">
        <v>19</v>
      </c>
      <c r="X356" s="29">
        <f>0.05</f>
        <v>0.05</v>
      </c>
      <c r="Y356" s="29"/>
      <c r="Z356" s="29"/>
      <c r="AA356" s="29"/>
      <c r="AB356" s="29"/>
      <c r="AC356" s="30"/>
      <c r="AD356" s="31"/>
      <c r="AE356" s="31"/>
      <c r="AF356" s="31"/>
      <c r="AG356" s="31"/>
      <c r="AH356" s="31"/>
      <c r="AI356" s="32"/>
    </row>
    <row r="357" spans="1:35" x14ac:dyDescent="0.25">
      <c r="A357" s="27"/>
      <c r="B357" s="28"/>
      <c r="C357" s="29"/>
      <c r="D357" s="30"/>
      <c r="E357" s="28"/>
      <c r="F357" s="29"/>
      <c r="G357" s="29"/>
      <c r="H357" s="29"/>
      <c r="I357" s="29"/>
      <c r="J357" s="29"/>
      <c r="K357" s="29"/>
      <c r="L357" s="29"/>
      <c r="M357" s="29"/>
      <c r="N357" s="30"/>
      <c r="O357" s="28"/>
      <c r="P357" s="29"/>
      <c r="Q357" s="29"/>
      <c r="R357" s="29"/>
      <c r="S357" s="29"/>
      <c r="T357" s="29"/>
      <c r="U357" s="43" t="s">
        <v>29</v>
      </c>
      <c r="V357" s="29">
        <f>V356+X356</f>
        <v>0.65</v>
      </c>
      <c r="W357" s="29" t="s">
        <v>127</v>
      </c>
      <c r="X357" s="29"/>
      <c r="Y357" s="29"/>
      <c r="Z357" s="29"/>
      <c r="AA357" s="29"/>
      <c r="AB357" s="29"/>
      <c r="AC357" s="30"/>
      <c r="AD357" s="31"/>
      <c r="AE357" s="31"/>
      <c r="AF357" s="31"/>
      <c r="AG357" s="31"/>
      <c r="AH357" s="31"/>
      <c r="AI357" s="32"/>
    </row>
    <row r="358" spans="1:35" x14ac:dyDescent="0.25">
      <c r="A358" s="27"/>
      <c r="B358" s="28"/>
      <c r="C358" s="29"/>
      <c r="D358" s="30"/>
      <c r="E358" s="28"/>
      <c r="F358" s="29"/>
      <c r="G358" s="29"/>
      <c r="H358" s="29"/>
      <c r="I358" s="29"/>
      <c r="J358" s="29"/>
      <c r="K358" s="29"/>
      <c r="L358" s="29"/>
      <c r="M358" s="29"/>
      <c r="N358" s="30"/>
      <c r="O358" s="28"/>
      <c r="P358" s="29" t="s">
        <v>166</v>
      </c>
      <c r="Q358" s="29"/>
      <c r="R358" s="29"/>
      <c r="S358" s="29"/>
      <c r="T358" s="29"/>
      <c r="U358" s="43"/>
      <c r="V358" s="29"/>
      <c r="W358" s="29"/>
      <c r="X358" s="29"/>
      <c r="Y358" s="29"/>
      <c r="Z358" s="29"/>
      <c r="AA358" s="29"/>
      <c r="AB358" s="29"/>
      <c r="AC358" s="30"/>
      <c r="AD358" s="31"/>
      <c r="AE358" s="31"/>
      <c r="AF358" s="31"/>
      <c r="AG358" s="31"/>
      <c r="AH358" s="31"/>
      <c r="AI358" s="32"/>
    </row>
    <row r="359" spans="1:35" x14ac:dyDescent="0.25">
      <c r="A359" s="27"/>
      <c r="B359" s="28"/>
      <c r="C359" s="29"/>
      <c r="D359" s="30"/>
      <c r="E359" s="28"/>
      <c r="F359" s="29"/>
      <c r="G359" s="29"/>
      <c r="H359" s="29"/>
      <c r="I359" s="29"/>
      <c r="J359" s="29"/>
      <c r="K359" s="29"/>
      <c r="L359" s="29"/>
      <c r="M359" s="29"/>
      <c r="N359" s="30"/>
      <c r="O359" s="28"/>
      <c r="P359" s="29"/>
      <c r="Q359" s="29"/>
      <c r="R359" s="29"/>
      <c r="S359" s="29"/>
      <c r="T359" s="29"/>
      <c r="U359" s="43" t="s">
        <v>29</v>
      </c>
      <c r="V359" s="29">
        <f>V348</f>
        <v>45</v>
      </c>
      <c r="W359" s="29" t="s">
        <v>138</v>
      </c>
      <c r="X359" s="58">
        <v>0.2</v>
      </c>
      <c r="Y359" s="29"/>
      <c r="Z359" s="29"/>
      <c r="AA359" s="29"/>
      <c r="AB359" s="29"/>
      <c r="AC359" s="30"/>
      <c r="AD359" s="31"/>
      <c r="AE359" s="31"/>
      <c r="AF359" s="31"/>
      <c r="AG359" s="31"/>
      <c r="AH359" s="31"/>
      <c r="AI359" s="32"/>
    </row>
    <row r="360" spans="1:35" x14ac:dyDescent="0.25">
      <c r="A360" s="27"/>
      <c r="B360" s="28"/>
      <c r="C360" s="29"/>
      <c r="D360" s="30"/>
      <c r="E360" s="28"/>
      <c r="F360" s="29"/>
      <c r="G360" s="29"/>
      <c r="H360" s="29"/>
      <c r="I360" s="29"/>
      <c r="J360" s="29"/>
      <c r="K360" s="29"/>
      <c r="L360" s="29"/>
      <c r="M360" s="29"/>
      <c r="N360" s="30"/>
      <c r="O360" s="28"/>
      <c r="P360" s="29"/>
      <c r="Q360" s="29"/>
      <c r="R360" s="29"/>
      <c r="S360" s="29"/>
      <c r="T360" s="29"/>
      <c r="U360" s="43" t="s">
        <v>29</v>
      </c>
      <c r="V360" s="29">
        <f>V359/X359</f>
        <v>225</v>
      </c>
      <c r="W360" s="29" t="s">
        <v>130</v>
      </c>
      <c r="X360" s="29"/>
      <c r="Y360" s="29"/>
      <c r="Z360" s="29"/>
      <c r="AA360" s="29"/>
      <c r="AB360" s="29"/>
      <c r="AC360" s="30"/>
      <c r="AD360" s="31"/>
      <c r="AE360" s="31"/>
      <c r="AF360" s="31"/>
      <c r="AG360" s="31"/>
      <c r="AH360" s="31"/>
      <c r="AI360" s="32"/>
    </row>
    <row r="361" spans="1:35" x14ac:dyDescent="0.25">
      <c r="A361" s="27"/>
      <c r="B361" s="28"/>
      <c r="C361" s="29"/>
      <c r="D361" s="30"/>
      <c r="E361" s="28"/>
      <c r="F361" s="29"/>
      <c r="G361" s="29"/>
      <c r="H361" s="29"/>
      <c r="I361" s="29"/>
      <c r="J361" s="29"/>
      <c r="K361" s="29"/>
      <c r="L361" s="29"/>
      <c r="M361" s="29"/>
      <c r="N361" s="30"/>
      <c r="O361" s="28"/>
      <c r="P361" s="29" t="s">
        <v>142</v>
      </c>
      <c r="Q361" s="29"/>
      <c r="R361" s="29"/>
      <c r="S361" s="29"/>
      <c r="T361" s="29"/>
      <c r="U361" s="43"/>
      <c r="V361" s="29">
        <f>V357</f>
        <v>0.65</v>
      </c>
      <c r="W361" s="29" t="s">
        <v>127</v>
      </c>
      <c r="X361" s="29"/>
      <c r="Y361" s="29"/>
      <c r="Z361" s="29"/>
      <c r="AA361" s="29"/>
      <c r="AB361" s="29"/>
      <c r="AC361" s="30"/>
      <c r="AD361" s="31"/>
      <c r="AE361" s="31"/>
      <c r="AF361" s="31"/>
      <c r="AG361" s="31"/>
      <c r="AH361" s="31"/>
      <c r="AI361" s="32"/>
    </row>
    <row r="362" spans="1:35" x14ac:dyDescent="0.25">
      <c r="A362" s="27"/>
      <c r="B362" s="28"/>
      <c r="C362" s="29"/>
      <c r="D362" s="30"/>
      <c r="E362" s="28"/>
      <c r="F362" s="29"/>
      <c r="G362" s="29"/>
      <c r="H362" s="29"/>
      <c r="I362" s="29"/>
      <c r="J362" s="29"/>
      <c r="K362" s="29"/>
      <c r="L362" s="29"/>
      <c r="M362" s="29"/>
      <c r="N362" s="30"/>
      <c r="O362" s="28"/>
      <c r="P362" s="29" t="s">
        <v>143</v>
      </c>
      <c r="Q362" s="29"/>
      <c r="R362" s="29"/>
      <c r="S362" s="29"/>
      <c r="T362" s="29"/>
      <c r="U362" s="43" t="s">
        <v>29</v>
      </c>
      <c r="V362" s="63">
        <f>V361*V360</f>
        <v>146.25</v>
      </c>
      <c r="W362" s="63" t="s">
        <v>127</v>
      </c>
      <c r="X362" s="29"/>
      <c r="Y362" s="29"/>
      <c r="Z362" s="29"/>
      <c r="AA362" s="29"/>
      <c r="AB362" s="29"/>
      <c r="AC362" s="30"/>
      <c r="AD362" s="31"/>
      <c r="AE362" s="31"/>
      <c r="AF362" s="31"/>
      <c r="AG362" s="31"/>
      <c r="AH362" s="31"/>
      <c r="AI362" s="32"/>
    </row>
    <row r="363" spans="1:35" x14ac:dyDescent="0.25">
      <c r="A363" s="27"/>
      <c r="B363" s="28"/>
      <c r="C363" s="29"/>
      <c r="D363" s="30"/>
      <c r="E363" s="28"/>
      <c r="F363" s="29"/>
      <c r="G363" s="29"/>
      <c r="H363" s="29"/>
      <c r="I363" s="29"/>
      <c r="J363" s="29"/>
      <c r="K363" s="29"/>
      <c r="L363" s="29"/>
      <c r="M363" s="29"/>
      <c r="N363" s="30"/>
      <c r="O363" s="28"/>
      <c r="P363" s="29" t="s">
        <v>131</v>
      </c>
      <c r="Q363" s="29"/>
      <c r="R363" s="29"/>
      <c r="S363" s="29"/>
      <c r="T363" s="29"/>
      <c r="U363" s="43" t="s">
        <v>29</v>
      </c>
      <c r="V363" s="63">
        <f>V362/12</f>
        <v>12.1875</v>
      </c>
      <c r="W363" s="63" t="s">
        <v>132</v>
      </c>
      <c r="X363" s="63"/>
      <c r="Y363" s="29"/>
      <c r="Z363" s="29"/>
      <c r="AA363" s="29"/>
      <c r="AB363" s="29"/>
      <c r="AC363" s="30"/>
      <c r="AD363" s="31"/>
      <c r="AE363" s="31"/>
      <c r="AF363" s="31"/>
      <c r="AG363" s="31"/>
      <c r="AH363" s="31"/>
      <c r="AI363" s="32"/>
    </row>
    <row r="364" spans="1:35" x14ac:dyDescent="0.25">
      <c r="A364" s="27"/>
      <c r="B364" s="28"/>
      <c r="C364" s="29"/>
      <c r="D364" s="30"/>
      <c r="E364" s="28"/>
      <c r="F364" s="29"/>
      <c r="G364" s="29"/>
      <c r="H364" s="29"/>
      <c r="I364" s="29"/>
      <c r="J364" s="29"/>
      <c r="K364" s="29"/>
      <c r="L364" s="29"/>
      <c r="M364" s="29"/>
      <c r="N364" s="30"/>
      <c r="O364" s="28"/>
      <c r="P364" s="29" t="s">
        <v>140</v>
      </c>
      <c r="Q364" s="29"/>
      <c r="R364" s="29"/>
      <c r="S364" s="29"/>
      <c r="T364" s="29"/>
      <c r="U364" s="29"/>
      <c r="V364" s="29">
        <v>2.66</v>
      </c>
      <c r="W364" s="29" t="s">
        <v>133</v>
      </c>
      <c r="X364" s="29"/>
      <c r="Y364" s="29"/>
      <c r="Z364" s="29"/>
      <c r="AA364" s="29"/>
      <c r="AB364" s="29"/>
      <c r="AC364" s="30"/>
      <c r="AD364" s="31"/>
      <c r="AE364" s="31"/>
      <c r="AF364" s="31"/>
      <c r="AG364" s="31"/>
      <c r="AH364" s="31"/>
      <c r="AI364" s="32"/>
    </row>
    <row r="365" spans="1:35" x14ac:dyDescent="0.25">
      <c r="A365" s="27"/>
      <c r="B365" s="28"/>
      <c r="C365" s="29"/>
      <c r="D365" s="30"/>
      <c r="E365" s="28"/>
      <c r="F365" s="29"/>
      <c r="G365" s="29"/>
      <c r="H365" s="29"/>
      <c r="I365" s="29"/>
      <c r="J365" s="29"/>
      <c r="K365" s="29"/>
      <c r="L365" s="29"/>
      <c r="M365" s="29"/>
      <c r="N365" s="30"/>
      <c r="O365" s="28"/>
      <c r="P365" s="29" t="s">
        <v>134</v>
      </c>
      <c r="Q365" s="29"/>
      <c r="R365" s="29"/>
      <c r="S365" s="29"/>
      <c r="T365" s="29"/>
      <c r="U365" s="43" t="s">
        <v>29</v>
      </c>
      <c r="V365" s="63">
        <f>V363*V364</f>
        <v>32.418750000000003</v>
      </c>
      <c r="W365" s="63" t="s">
        <v>133</v>
      </c>
      <c r="X365" s="29"/>
      <c r="Y365" s="29"/>
      <c r="Z365" s="29"/>
      <c r="AA365" s="29"/>
      <c r="AB365" s="29"/>
      <c r="AC365" s="30"/>
      <c r="AD365" s="31"/>
      <c r="AE365" s="31"/>
      <c r="AF365" s="31"/>
      <c r="AG365" s="31"/>
      <c r="AH365" s="31"/>
      <c r="AI365" s="32"/>
    </row>
    <row r="366" spans="1:35" x14ac:dyDescent="0.25">
      <c r="A366" s="27"/>
      <c r="B366" s="28"/>
      <c r="C366" s="29"/>
      <c r="D366" s="30"/>
      <c r="E366" s="28"/>
      <c r="F366" s="29"/>
      <c r="G366" s="29"/>
      <c r="H366" s="29"/>
      <c r="I366" s="29"/>
      <c r="J366" s="29"/>
      <c r="K366" s="29"/>
      <c r="L366" s="29"/>
      <c r="M366" s="29"/>
      <c r="N366" s="30"/>
      <c r="O366" s="28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30"/>
      <c r="AD366" s="31"/>
      <c r="AE366" s="31"/>
      <c r="AF366" s="31"/>
      <c r="AG366" s="31"/>
      <c r="AH366" s="31"/>
      <c r="AI366" s="32"/>
    </row>
    <row r="367" spans="1:35" x14ac:dyDescent="0.25">
      <c r="A367" s="27"/>
      <c r="B367" s="28"/>
      <c r="C367" s="29"/>
      <c r="D367" s="30"/>
      <c r="E367" s="28"/>
      <c r="F367" s="29"/>
      <c r="G367" s="29"/>
      <c r="H367" s="29"/>
      <c r="I367" s="29"/>
      <c r="J367" s="29"/>
      <c r="K367" s="29"/>
      <c r="L367" s="29"/>
      <c r="M367" s="29"/>
      <c r="N367" s="30"/>
      <c r="O367" s="65" t="s">
        <v>144</v>
      </c>
      <c r="P367" s="62" t="s">
        <v>350</v>
      </c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30"/>
      <c r="AD367" s="31"/>
      <c r="AE367" s="39">
        <f>T373</f>
        <v>13.5</v>
      </c>
      <c r="AF367" s="31"/>
      <c r="AG367" s="31"/>
      <c r="AH367" s="31"/>
      <c r="AI367" s="32"/>
    </row>
    <row r="368" spans="1:35" x14ac:dyDescent="0.25">
      <c r="A368" s="27"/>
      <c r="B368" s="28"/>
      <c r="C368" s="29"/>
      <c r="D368" s="30"/>
      <c r="E368" s="28"/>
      <c r="F368" s="29"/>
      <c r="G368" s="29"/>
      <c r="H368" s="29"/>
      <c r="I368" s="29"/>
      <c r="J368" s="29"/>
      <c r="K368" s="29"/>
      <c r="L368" s="29"/>
      <c r="M368" s="29"/>
      <c r="N368" s="30"/>
      <c r="O368" s="28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30"/>
      <c r="AD368" s="31"/>
      <c r="AE368" s="31"/>
      <c r="AF368" s="31"/>
      <c r="AG368" s="31"/>
      <c r="AH368" s="31"/>
      <c r="AI368" s="32"/>
    </row>
    <row r="369" spans="1:35" x14ac:dyDescent="0.25">
      <c r="A369" s="27"/>
      <c r="B369" s="28"/>
      <c r="C369" s="29"/>
      <c r="D369" s="30"/>
      <c r="E369" s="28"/>
      <c r="F369" s="29"/>
      <c r="G369" s="29"/>
      <c r="H369" s="29"/>
      <c r="I369" s="29"/>
      <c r="J369" s="29"/>
      <c r="K369" s="29"/>
      <c r="L369" s="29"/>
      <c r="M369" s="29"/>
      <c r="N369" s="30"/>
      <c r="O369" s="28"/>
      <c r="P369" s="29" t="s">
        <v>21</v>
      </c>
      <c r="Q369" s="29"/>
      <c r="R369" s="29"/>
      <c r="S369" s="29">
        <f>V348</f>
        <v>45</v>
      </c>
      <c r="T369" s="29"/>
      <c r="U369" s="29"/>
      <c r="V369" s="29"/>
      <c r="W369" s="29"/>
      <c r="X369" s="29"/>
      <c r="Y369" s="29"/>
      <c r="Z369" s="29"/>
      <c r="AA369" s="29"/>
      <c r="AB369" s="29"/>
      <c r="AC369" s="30"/>
      <c r="AD369" s="31"/>
      <c r="AE369" s="31"/>
      <c r="AF369" s="31"/>
      <c r="AG369" s="31"/>
      <c r="AH369" s="31"/>
      <c r="AI369" s="32"/>
    </row>
    <row r="370" spans="1:35" x14ac:dyDescent="0.25">
      <c r="A370" s="27"/>
      <c r="B370" s="28"/>
      <c r="C370" s="29"/>
      <c r="D370" s="30"/>
      <c r="E370" s="28"/>
      <c r="F370" s="29"/>
      <c r="G370" s="29"/>
      <c r="H370" s="29"/>
      <c r="I370" s="29"/>
      <c r="J370" s="29"/>
      <c r="K370" s="29"/>
      <c r="L370" s="29"/>
      <c r="M370" s="29"/>
      <c r="N370" s="30"/>
      <c r="O370" s="28"/>
      <c r="P370" s="29" t="s">
        <v>69</v>
      </c>
      <c r="Q370" s="29"/>
      <c r="R370" s="29"/>
      <c r="S370" s="29">
        <f>E348</f>
        <v>0.15</v>
      </c>
      <c r="T370" s="29"/>
      <c r="U370" s="29"/>
      <c r="V370" s="29"/>
      <c r="W370" s="29"/>
      <c r="X370" s="29"/>
      <c r="Y370" s="29"/>
      <c r="Z370" s="29"/>
      <c r="AA370" s="29"/>
      <c r="AB370" s="29"/>
      <c r="AC370" s="30"/>
      <c r="AD370" s="31"/>
      <c r="AE370" s="31"/>
      <c r="AF370" s="31"/>
      <c r="AG370" s="31"/>
      <c r="AH370" s="31"/>
      <c r="AI370" s="32"/>
    </row>
    <row r="371" spans="1:35" x14ac:dyDescent="0.25">
      <c r="A371" s="27"/>
      <c r="B371" s="28"/>
      <c r="C371" s="29"/>
      <c r="D371" s="30"/>
      <c r="E371" s="28"/>
      <c r="F371" s="29"/>
      <c r="G371" s="29"/>
      <c r="H371" s="29"/>
      <c r="I371" s="29"/>
      <c r="J371" s="29"/>
      <c r="K371" s="29"/>
      <c r="L371" s="29"/>
      <c r="M371" s="29"/>
      <c r="N371" s="30"/>
      <c r="O371" s="28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30"/>
      <c r="AD371" s="31"/>
      <c r="AE371" s="31"/>
      <c r="AF371" s="31"/>
      <c r="AG371" s="31"/>
      <c r="AH371" s="31"/>
      <c r="AI371" s="32"/>
    </row>
    <row r="372" spans="1:35" x14ac:dyDescent="0.25">
      <c r="A372" s="27"/>
      <c r="B372" s="28"/>
      <c r="C372" s="29"/>
      <c r="D372" s="30"/>
      <c r="E372" s="28"/>
      <c r="F372" s="29"/>
      <c r="G372" s="29"/>
      <c r="H372" s="29"/>
      <c r="I372" s="29"/>
      <c r="J372" s="29"/>
      <c r="K372" s="29"/>
      <c r="L372" s="29"/>
      <c r="M372" s="29"/>
      <c r="N372" s="30"/>
      <c r="O372" s="28"/>
      <c r="P372" s="29" t="s">
        <v>351</v>
      </c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30"/>
      <c r="AD372" s="31"/>
      <c r="AE372" s="31"/>
      <c r="AF372" s="31"/>
      <c r="AG372" s="31"/>
      <c r="AH372" s="31"/>
      <c r="AI372" s="32"/>
    </row>
    <row r="373" spans="1:35" x14ac:dyDescent="0.25">
      <c r="A373" s="27"/>
      <c r="B373" s="28"/>
      <c r="C373" s="29"/>
      <c r="D373" s="30"/>
      <c r="E373" s="28"/>
      <c r="F373" s="29"/>
      <c r="G373" s="29"/>
      <c r="H373" s="29"/>
      <c r="I373" s="29"/>
      <c r="J373" s="29"/>
      <c r="K373" s="29"/>
      <c r="L373" s="29"/>
      <c r="M373" s="29"/>
      <c r="N373" s="30"/>
      <c r="O373" s="28"/>
      <c r="P373" s="29"/>
      <c r="Q373" s="29"/>
      <c r="R373" s="29"/>
      <c r="S373" s="29" t="s">
        <v>17</v>
      </c>
      <c r="T373" s="57">
        <f>S369*S370*2</f>
        <v>13.5</v>
      </c>
      <c r="U373" s="57" t="s">
        <v>82</v>
      </c>
      <c r="V373" s="29"/>
      <c r="W373" s="29"/>
      <c r="X373" s="29"/>
      <c r="Y373" s="29"/>
      <c r="Z373" s="29"/>
      <c r="AA373" s="29"/>
      <c r="AB373" s="29"/>
      <c r="AC373" s="30"/>
      <c r="AD373" s="31"/>
      <c r="AE373" s="31"/>
      <c r="AF373" s="31"/>
      <c r="AG373" s="31"/>
      <c r="AH373" s="31"/>
      <c r="AI373" s="32"/>
    </row>
    <row r="374" spans="1:35" x14ac:dyDescent="0.25">
      <c r="A374" s="27"/>
      <c r="B374" s="28"/>
      <c r="C374" s="29"/>
      <c r="D374" s="30"/>
      <c r="E374" s="28"/>
      <c r="F374" s="29"/>
      <c r="G374" s="29"/>
      <c r="H374" s="29"/>
      <c r="I374" s="29"/>
      <c r="J374" s="29"/>
      <c r="K374" s="29"/>
      <c r="L374" s="29"/>
      <c r="M374" s="29"/>
      <c r="N374" s="30"/>
      <c r="O374" s="28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30"/>
      <c r="AD374" s="31"/>
      <c r="AE374" s="31"/>
      <c r="AF374" s="31"/>
      <c r="AG374" s="31"/>
      <c r="AH374" s="31"/>
      <c r="AI374" s="32"/>
    </row>
    <row r="375" spans="1:35" x14ac:dyDescent="0.25">
      <c r="A375" s="27"/>
      <c r="B375" s="28"/>
      <c r="C375" s="29"/>
      <c r="D375" s="30"/>
      <c r="E375" s="28"/>
      <c r="F375" s="29"/>
      <c r="G375" s="29"/>
      <c r="H375" s="29"/>
      <c r="I375" s="29"/>
      <c r="J375" s="29"/>
      <c r="K375" s="29"/>
      <c r="L375" s="29"/>
      <c r="M375" s="29"/>
      <c r="N375" s="30"/>
      <c r="O375" s="28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30"/>
      <c r="AD375" s="31"/>
      <c r="AE375" s="31"/>
      <c r="AF375" s="31"/>
      <c r="AG375" s="31"/>
      <c r="AH375" s="31"/>
      <c r="AI375" s="32"/>
    </row>
    <row r="376" spans="1:35" x14ac:dyDescent="0.25">
      <c r="A376" s="27"/>
      <c r="B376" s="28"/>
      <c r="C376" s="29"/>
      <c r="D376" s="30"/>
      <c r="E376" s="28"/>
      <c r="F376" s="29"/>
      <c r="G376" s="29"/>
      <c r="H376" s="29"/>
      <c r="I376" s="29"/>
      <c r="J376" s="29"/>
      <c r="K376" s="29"/>
      <c r="L376" s="29"/>
      <c r="M376" s="29"/>
      <c r="N376" s="30"/>
      <c r="O376" s="65" t="s">
        <v>352</v>
      </c>
      <c r="P376" s="62" t="s">
        <v>156</v>
      </c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30"/>
      <c r="AD376" s="31"/>
      <c r="AE376" s="31"/>
      <c r="AF376" s="39">
        <f>V379</f>
        <v>1.0125</v>
      </c>
      <c r="AG376" s="31"/>
      <c r="AH376" s="31"/>
      <c r="AI376" s="32"/>
    </row>
    <row r="377" spans="1:35" x14ac:dyDescent="0.25">
      <c r="A377" s="27"/>
      <c r="B377" s="28"/>
      <c r="C377" s="29"/>
      <c r="D377" s="30"/>
      <c r="E377" s="28"/>
      <c r="F377" s="29"/>
      <c r="G377" s="29"/>
      <c r="H377" s="29"/>
      <c r="I377" s="29"/>
      <c r="J377" s="29"/>
      <c r="K377" s="29"/>
      <c r="L377" s="29"/>
      <c r="M377" s="29"/>
      <c r="N377" s="30"/>
      <c r="O377" s="28"/>
      <c r="P377" s="29" t="s">
        <v>157</v>
      </c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30"/>
      <c r="AD377" s="31"/>
      <c r="AE377" s="31"/>
      <c r="AF377" s="31"/>
      <c r="AG377" s="31"/>
      <c r="AH377" s="31"/>
      <c r="AI377" s="32"/>
    </row>
    <row r="378" spans="1:35" x14ac:dyDescent="0.25">
      <c r="A378" s="27"/>
      <c r="B378" s="28"/>
      <c r="C378" s="29"/>
      <c r="D378" s="30"/>
      <c r="E378" s="28"/>
      <c r="F378" s="29"/>
      <c r="G378" s="29"/>
      <c r="H378" s="29"/>
      <c r="I378" s="29"/>
      <c r="J378" s="29"/>
      <c r="K378" s="29"/>
      <c r="L378" s="29"/>
      <c r="M378" s="29"/>
      <c r="N378" s="30"/>
      <c r="O378" s="28"/>
      <c r="P378" s="29"/>
      <c r="Q378" s="29"/>
      <c r="R378" s="29"/>
      <c r="S378" s="29"/>
      <c r="T378" s="29"/>
      <c r="U378" s="43" t="s">
        <v>29</v>
      </c>
      <c r="V378" s="29">
        <f>I354</f>
        <v>0.15</v>
      </c>
      <c r="W378" s="38" t="s">
        <v>16</v>
      </c>
      <c r="X378" s="79">
        <f>E348</f>
        <v>0.15</v>
      </c>
      <c r="Y378" s="38" t="s">
        <v>16</v>
      </c>
      <c r="Z378" s="29">
        <f>V348</f>
        <v>45</v>
      </c>
      <c r="AA378" s="29"/>
      <c r="AB378" s="29"/>
      <c r="AC378" s="30"/>
      <c r="AD378" s="31"/>
      <c r="AE378" s="31"/>
      <c r="AF378" s="31"/>
      <c r="AG378" s="31"/>
      <c r="AH378" s="31"/>
      <c r="AI378" s="32"/>
    </row>
    <row r="379" spans="1:35" ht="15.75" thickBot="1" x14ac:dyDescent="0.3">
      <c r="A379" s="5"/>
      <c r="B379" s="17"/>
      <c r="C379" s="18"/>
      <c r="D379" s="19"/>
      <c r="E379" s="17"/>
      <c r="F379" s="18"/>
      <c r="G379" s="18"/>
      <c r="H379" s="18"/>
      <c r="I379" s="18"/>
      <c r="J379" s="18"/>
      <c r="K379" s="18"/>
      <c r="L379" s="18"/>
      <c r="M379" s="18"/>
      <c r="N379" s="19"/>
      <c r="O379" s="17"/>
      <c r="P379" s="18"/>
      <c r="Q379" s="18"/>
      <c r="R379" s="18"/>
      <c r="S379" s="18"/>
      <c r="T379" s="18"/>
      <c r="U379" s="600" t="s">
        <v>29</v>
      </c>
      <c r="V379" s="602">
        <f>V378*X378*Z378</f>
        <v>1.0125</v>
      </c>
      <c r="W379" s="602" t="s">
        <v>158</v>
      </c>
      <c r="X379" s="18"/>
      <c r="Y379" s="18"/>
      <c r="Z379" s="18"/>
      <c r="AA379" s="18"/>
      <c r="AB379" s="18"/>
      <c r="AC379" s="19"/>
      <c r="AD379" s="6"/>
      <c r="AE379" s="6"/>
      <c r="AF379" s="6"/>
      <c r="AG379" s="6"/>
      <c r="AH379" s="6"/>
      <c r="AI379" s="7"/>
    </row>
    <row r="380" spans="1:35" ht="15.75" thickTop="1" x14ac:dyDescent="0.25">
      <c r="A380" s="597"/>
      <c r="B380" s="272"/>
      <c r="C380" s="598"/>
      <c r="D380" s="273"/>
      <c r="E380" s="272"/>
      <c r="F380" s="598"/>
      <c r="G380" s="598"/>
      <c r="H380" s="598"/>
      <c r="I380" s="598"/>
      <c r="J380" s="598"/>
      <c r="K380" s="598"/>
      <c r="L380" s="598"/>
      <c r="M380" s="598"/>
      <c r="N380" s="273"/>
      <c r="O380" s="272"/>
      <c r="P380" s="598"/>
      <c r="Q380" s="598"/>
      <c r="R380" s="598"/>
      <c r="S380" s="598"/>
      <c r="T380" s="598"/>
      <c r="U380" s="598"/>
      <c r="V380" s="598"/>
      <c r="W380" s="598"/>
      <c r="X380" s="598"/>
      <c r="Y380" s="598"/>
      <c r="Z380" s="598"/>
      <c r="AA380" s="598"/>
      <c r="AB380" s="598"/>
      <c r="AC380" s="273"/>
      <c r="AD380" s="274"/>
      <c r="AE380" s="274"/>
      <c r="AF380" s="274"/>
      <c r="AG380" s="274"/>
      <c r="AH380" s="274"/>
      <c r="AI380" s="599"/>
    </row>
    <row r="381" spans="1:35" x14ac:dyDescent="0.25">
      <c r="A381" s="27"/>
      <c r="B381" s="28"/>
      <c r="C381" s="29"/>
      <c r="D381" s="30"/>
      <c r="E381" s="28"/>
      <c r="F381" s="29"/>
      <c r="G381" s="29"/>
      <c r="H381" s="29"/>
      <c r="I381" s="29"/>
      <c r="J381" s="33">
        <v>2</v>
      </c>
      <c r="K381" s="29"/>
      <c r="L381" s="29"/>
      <c r="M381" s="29"/>
      <c r="N381" s="30"/>
      <c r="O381" s="42" t="s">
        <v>168</v>
      </c>
      <c r="P381" s="64" t="s">
        <v>169</v>
      </c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30"/>
      <c r="AD381" s="31"/>
      <c r="AE381" s="31"/>
      <c r="AF381" s="31"/>
      <c r="AG381" s="31"/>
      <c r="AH381" s="31"/>
      <c r="AI381" s="32"/>
    </row>
    <row r="382" spans="1:35" x14ac:dyDescent="0.25">
      <c r="A382" s="27"/>
      <c r="B382" s="28"/>
      <c r="C382" s="29"/>
      <c r="D382" s="30"/>
      <c r="E382" s="28"/>
      <c r="F382" s="29"/>
      <c r="G382" s="29"/>
      <c r="H382" s="29"/>
      <c r="I382" s="29"/>
      <c r="J382" s="29"/>
      <c r="K382" s="29"/>
      <c r="L382" s="29"/>
      <c r="M382" s="29"/>
      <c r="N382" s="30"/>
      <c r="O382" s="72" t="s">
        <v>79</v>
      </c>
      <c r="P382" s="73" t="s">
        <v>125</v>
      </c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29"/>
      <c r="AC382" s="30"/>
      <c r="AD382" s="31"/>
      <c r="AE382" s="31"/>
      <c r="AF382" s="31"/>
      <c r="AG382" s="31"/>
      <c r="AH382" s="74">
        <f>Y402</f>
        <v>37</v>
      </c>
      <c r="AI382" s="32" t="s">
        <v>159</v>
      </c>
    </row>
    <row r="383" spans="1:35" x14ac:dyDescent="0.25">
      <c r="A383" s="27"/>
      <c r="B383" s="28"/>
      <c r="C383" s="29"/>
      <c r="D383" s="30"/>
      <c r="E383" s="28"/>
      <c r="F383" s="29"/>
      <c r="G383" s="29"/>
      <c r="H383" s="29"/>
      <c r="I383" s="29"/>
      <c r="J383" s="29"/>
      <c r="K383" s="29"/>
      <c r="L383" s="29"/>
      <c r="M383" s="29"/>
      <c r="N383" s="30"/>
      <c r="O383" s="60" t="s">
        <v>135</v>
      </c>
      <c r="P383" s="29" t="s">
        <v>170</v>
      </c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30"/>
      <c r="AD383" s="31"/>
      <c r="AE383" s="31"/>
      <c r="AF383" s="31"/>
      <c r="AG383" s="31"/>
      <c r="AH383" s="31"/>
      <c r="AI383" s="32"/>
    </row>
    <row r="384" spans="1:35" x14ac:dyDescent="0.25">
      <c r="A384" s="27"/>
      <c r="B384" s="28"/>
      <c r="C384" s="29"/>
      <c r="D384" s="30"/>
      <c r="E384" s="28"/>
      <c r="F384" s="29"/>
      <c r="G384" s="29"/>
      <c r="H384" s="29"/>
      <c r="I384" s="29"/>
      <c r="J384" s="29"/>
      <c r="K384" s="29"/>
      <c r="L384" s="29"/>
      <c r="M384" s="29"/>
      <c r="N384" s="30"/>
      <c r="O384" s="60"/>
      <c r="P384" s="29"/>
      <c r="Q384" s="29" t="s">
        <v>171</v>
      </c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30"/>
      <c r="AD384" s="31"/>
      <c r="AE384" s="31"/>
      <c r="AF384" s="31"/>
      <c r="AG384" s="31"/>
      <c r="AH384" s="31"/>
      <c r="AI384" s="32"/>
    </row>
    <row r="385" spans="1:35" x14ac:dyDescent="0.25">
      <c r="A385" s="27"/>
      <c r="B385" s="28"/>
      <c r="C385" s="29"/>
      <c r="D385" s="30"/>
      <c r="E385" s="28"/>
      <c r="F385" s="29"/>
      <c r="G385" s="29"/>
      <c r="H385" s="29"/>
      <c r="I385" s="29"/>
      <c r="J385" s="29"/>
      <c r="K385" s="29"/>
      <c r="L385" s="29"/>
      <c r="M385" s="29"/>
      <c r="N385" s="30"/>
      <c r="O385" s="60"/>
      <c r="P385" s="29"/>
      <c r="Q385" s="29" t="s">
        <v>172</v>
      </c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30"/>
      <c r="AD385" s="31"/>
      <c r="AE385" s="31"/>
      <c r="AF385" s="31"/>
      <c r="AG385" s="31"/>
      <c r="AH385" s="31"/>
      <c r="AI385" s="32"/>
    </row>
    <row r="386" spans="1:35" x14ac:dyDescent="0.25">
      <c r="A386" s="27"/>
      <c r="B386" s="28"/>
      <c r="C386" s="29"/>
      <c r="D386" s="30"/>
      <c r="E386" s="28"/>
      <c r="F386" s="29"/>
      <c r="G386" s="29"/>
      <c r="H386" s="29"/>
      <c r="I386" s="29"/>
      <c r="J386" s="29"/>
      <c r="K386" s="29"/>
      <c r="L386" s="29"/>
      <c r="M386" s="29"/>
      <c r="N386" s="30"/>
      <c r="O386" s="60"/>
      <c r="P386" s="29"/>
      <c r="Q386" t="s">
        <v>29</v>
      </c>
      <c r="R386" s="29">
        <f>J381/0.2*2</f>
        <v>20</v>
      </c>
      <c r="S386" s="29" t="s">
        <v>152</v>
      </c>
      <c r="T386" s="29"/>
      <c r="U386" s="29"/>
      <c r="V386" s="29"/>
      <c r="W386" s="29"/>
      <c r="X386" s="29"/>
      <c r="Y386" s="29"/>
      <c r="Z386" s="29"/>
      <c r="AA386" s="29"/>
      <c r="AB386" s="29"/>
      <c r="AC386" s="30"/>
      <c r="AD386" s="31"/>
      <c r="AE386" s="31"/>
      <c r="AF386" s="31"/>
      <c r="AG386" s="31"/>
      <c r="AH386" s="31"/>
      <c r="AI386" s="32"/>
    </row>
    <row r="387" spans="1:35" x14ac:dyDescent="0.25">
      <c r="A387" s="27"/>
      <c r="B387" s="28"/>
      <c r="C387" s="29"/>
      <c r="D387" s="30"/>
      <c r="E387" s="28"/>
      <c r="F387" s="29"/>
      <c r="G387" s="29"/>
      <c r="H387" s="29"/>
      <c r="I387" s="29"/>
      <c r="J387" s="29"/>
      <c r="K387" s="29"/>
      <c r="L387" s="29"/>
      <c r="M387" s="29"/>
      <c r="N387" s="30"/>
      <c r="O387" s="60" t="s">
        <v>135</v>
      </c>
      <c r="P387" s="29" t="s">
        <v>173</v>
      </c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30"/>
      <c r="AD387" s="31"/>
      <c r="AE387" s="31"/>
      <c r="AF387" s="31"/>
      <c r="AG387" s="31"/>
      <c r="AH387" s="31"/>
      <c r="AI387" s="32"/>
    </row>
    <row r="388" spans="1:35" x14ac:dyDescent="0.25">
      <c r="A388" s="27"/>
      <c r="B388" s="28"/>
      <c r="C388" s="29"/>
      <c r="D388" s="30"/>
      <c r="E388" s="53">
        <v>1.5</v>
      </c>
      <c r="F388" s="29"/>
      <c r="G388" s="29"/>
      <c r="H388" s="29"/>
      <c r="I388" s="29"/>
      <c r="J388" s="29"/>
      <c r="K388" s="29"/>
      <c r="L388" s="29"/>
      <c r="M388" s="29"/>
      <c r="N388" s="30"/>
      <c r="O388" s="60"/>
      <c r="P388" s="29"/>
      <c r="Q388" s="29" t="s">
        <v>174</v>
      </c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30"/>
      <c r="AD388" s="31"/>
      <c r="AE388" s="31"/>
      <c r="AF388" s="31"/>
      <c r="AG388" s="31"/>
      <c r="AH388" s="31"/>
      <c r="AI388" s="32"/>
    </row>
    <row r="389" spans="1:35" x14ac:dyDescent="0.25">
      <c r="A389" s="27"/>
      <c r="B389" s="28"/>
      <c r="C389" s="29"/>
      <c r="D389" s="30"/>
      <c r="E389" s="28"/>
      <c r="F389" s="29"/>
      <c r="G389" s="29"/>
      <c r="H389" s="29"/>
      <c r="I389" s="29"/>
      <c r="J389" s="29"/>
      <c r="K389" s="29"/>
      <c r="L389" s="29"/>
      <c r="M389" s="29"/>
      <c r="N389" s="30"/>
      <c r="O389" s="60"/>
      <c r="P389" s="29"/>
      <c r="Q389" s="29" t="s">
        <v>29</v>
      </c>
      <c r="R389" s="29">
        <f>R386*E388</f>
        <v>30</v>
      </c>
      <c r="S389" s="29" t="s">
        <v>175</v>
      </c>
      <c r="T389" s="29"/>
      <c r="U389" s="29"/>
      <c r="V389" s="29"/>
      <c r="W389" s="29"/>
      <c r="X389" s="29"/>
      <c r="Y389" s="29"/>
      <c r="Z389" s="29"/>
      <c r="AA389" s="29"/>
      <c r="AB389" s="29"/>
      <c r="AC389" s="30"/>
      <c r="AD389" s="31"/>
      <c r="AE389" s="31"/>
      <c r="AF389" s="31"/>
      <c r="AG389" s="31"/>
      <c r="AH389" s="31"/>
      <c r="AI389" s="32"/>
    </row>
    <row r="390" spans="1:35" x14ac:dyDescent="0.25">
      <c r="A390" s="27"/>
      <c r="B390" s="28"/>
      <c r="C390" s="29"/>
      <c r="D390" s="30"/>
      <c r="E390" s="28"/>
      <c r="F390" s="29"/>
      <c r="G390" s="29"/>
      <c r="H390" s="29"/>
      <c r="I390" s="29"/>
      <c r="J390" s="29"/>
      <c r="K390" s="29"/>
      <c r="L390" s="29"/>
      <c r="M390" s="29"/>
      <c r="N390" s="30"/>
      <c r="O390" s="60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30"/>
      <c r="AD390" s="31"/>
      <c r="AE390" s="31"/>
      <c r="AF390" s="31"/>
      <c r="AG390" s="31"/>
      <c r="AH390" s="31"/>
      <c r="AI390" s="32"/>
    </row>
    <row r="391" spans="1:35" x14ac:dyDescent="0.25">
      <c r="A391" s="27"/>
      <c r="B391" s="28"/>
      <c r="C391" s="29"/>
      <c r="D391" s="30"/>
      <c r="E391" s="28"/>
      <c r="F391" s="29"/>
      <c r="G391" s="29"/>
      <c r="H391" s="29"/>
      <c r="I391" s="29"/>
      <c r="J391" s="29"/>
      <c r="K391" s="29"/>
      <c r="L391" s="29"/>
      <c r="M391" s="29"/>
      <c r="N391" s="30"/>
      <c r="O391" s="60" t="s">
        <v>135</v>
      </c>
      <c r="P391" s="29" t="s">
        <v>176</v>
      </c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30"/>
      <c r="AD391" s="31"/>
      <c r="AE391" s="31"/>
      <c r="AF391" s="31"/>
      <c r="AG391" s="31"/>
      <c r="AH391" s="31"/>
      <c r="AI391" s="32"/>
    </row>
    <row r="392" spans="1:35" x14ac:dyDescent="0.25">
      <c r="A392" s="27"/>
      <c r="B392" s="28"/>
      <c r="C392" s="29"/>
      <c r="D392" s="30"/>
      <c r="E392" s="28"/>
      <c r="F392" s="29"/>
      <c r="G392" s="29"/>
      <c r="H392" s="29"/>
      <c r="I392" s="29"/>
      <c r="J392" s="29"/>
      <c r="K392" s="29"/>
      <c r="L392" s="29"/>
      <c r="M392" s="29"/>
      <c r="N392" s="30"/>
      <c r="O392" s="60"/>
      <c r="P392" s="29"/>
      <c r="Q392" s="29" t="s">
        <v>171</v>
      </c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30"/>
      <c r="AD392" s="31"/>
      <c r="AE392" s="31"/>
      <c r="AF392" s="31"/>
      <c r="AG392" s="31"/>
      <c r="AH392" s="31"/>
      <c r="AI392" s="32"/>
    </row>
    <row r="393" spans="1:35" x14ac:dyDescent="0.25">
      <c r="A393" s="27"/>
      <c r="B393" s="28"/>
      <c r="C393" s="29"/>
      <c r="D393" s="30"/>
      <c r="E393" s="28"/>
      <c r="F393" s="29"/>
      <c r="G393" s="29"/>
      <c r="H393" s="29"/>
      <c r="I393" s="29"/>
      <c r="J393" s="29"/>
      <c r="K393" s="29"/>
      <c r="L393" s="29"/>
      <c r="M393" s="29"/>
      <c r="N393" s="30"/>
      <c r="O393" s="60"/>
      <c r="P393" s="29"/>
      <c r="Q393" s="29" t="s">
        <v>177</v>
      </c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30"/>
      <c r="AD393" s="31"/>
      <c r="AE393" s="31"/>
      <c r="AF393" s="31"/>
      <c r="AG393" s="31"/>
      <c r="AH393" s="31"/>
      <c r="AI393" s="32"/>
    </row>
    <row r="394" spans="1:35" x14ac:dyDescent="0.25">
      <c r="A394" s="27"/>
      <c r="B394" s="28"/>
      <c r="C394" s="29"/>
      <c r="D394" s="30"/>
      <c r="E394" s="28"/>
      <c r="F394" s="29"/>
      <c r="G394" s="29"/>
      <c r="H394" s="29"/>
      <c r="I394" s="29"/>
      <c r="J394" s="29"/>
      <c r="K394" s="29"/>
      <c r="L394" s="29"/>
      <c r="M394" s="29"/>
      <c r="N394" s="30"/>
      <c r="O394" s="60"/>
      <c r="P394" s="29"/>
      <c r="Q394" t="s">
        <v>29</v>
      </c>
      <c r="R394" s="29">
        <f>E388/0.2*2</f>
        <v>15</v>
      </c>
      <c r="S394" s="29" t="s">
        <v>152</v>
      </c>
      <c r="T394" s="29"/>
      <c r="U394" s="29"/>
      <c r="V394" s="29"/>
      <c r="W394" s="29"/>
      <c r="X394" s="29"/>
      <c r="Y394" s="29"/>
      <c r="Z394" s="29"/>
      <c r="AA394" s="29"/>
      <c r="AB394" s="29"/>
      <c r="AC394" s="30"/>
      <c r="AD394" s="31"/>
      <c r="AE394" s="31"/>
      <c r="AF394" s="31"/>
      <c r="AG394" s="31"/>
      <c r="AH394" s="31"/>
      <c r="AI394" s="32"/>
    </row>
    <row r="395" spans="1:35" x14ac:dyDescent="0.25">
      <c r="A395" s="27"/>
      <c r="B395" s="28"/>
      <c r="C395" s="29"/>
      <c r="D395" s="30"/>
      <c r="E395" s="53">
        <v>0.12</v>
      </c>
      <c r="F395" s="29"/>
      <c r="G395" s="29"/>
      <c r="H395" s="29"/>
      <c r="I395" s="29"/>
      <c r="J395" s="29"/>
      <c r="K395" s="29"/>
      <c r="L395" s="29"/>
      <c r="M395" s="29"/>
      <c r="N395" s="30"/>
      <c r="O395" s="60" t="s">
        <v>135</v>
      </c>
      <c r="P395" s="29" t="s">
        <v>178</v>
      </c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30"/>
      <c r="AD395" s="31"/>
      <c r="AE395" s="31"/>
      <c r="AF395" s="31"/>
      <c r="AG395" s="31"/>
      <c r="AH395" s="31"/>
      <c r="AI395" s="32"/>
    </row>
    <row r="396" spans="1:35" x14ac:dyDescent="0.25">
      <c r="A396" s="27"/>
      <c r="B396" s="28"/>
      <c r="C396" s="29"/>
      <c r="D396" s="30"/>
      <c r="E396" s="28"/>
      <c r="F396" s="29"/>
      <c r="G396" s="29"/>
      <c r="H396" s="29"/>
      <c r="I396" s="29"/>
      <c r="J396" s="29"/>
      <c r="K396" s="29"/>
      <c r="L396" s="29"/>
      <c r="M396" s="29"/>
      <c r="N396" s="30"/>
      <c r="O396" s="60"/>
      <c r="P396" s="29"/>
      <c r="Q396" s="29" t="s">
        <v>179</v>
      </c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30"/>
      <c r="AD396" s="31"/>
      <c r="AE396" s="31"/>
      <c r="AF396" s="31"/>
      <c r="AG396" s="31"/>
      <c r="AH396" s="31"/>
      <c r="AI396" s="32"/>
    </row>
    <row r="397" spans="1:35" x14ac:dyDescent="0.25">
      <c r="A397" s="27"/>
      <c r="B397" s="28"/>
      <c r="C397" s="29"/>
      <c r="D397" s="30"/>
      <c r="E397" s="28"/>
      <c r="F397" s="29"/>
      <c r="G397" s="29"/>
      <c r="H397" s="29"/>
      <c r="I397" s="29"/>
      <c r="J397" s="29"/>
      <c r="K397" s="29"/>
      <c r="L397" s="29"/>
      <c r="M397" s="29"/>
      <c r="N397" s="30"/>
      <c r="O397" s="60"/>
      <c r="P397" s="29"/>
      <c r="Q397" s="29" t="s">
        <v>29</v>
      </c>
      <c r="R397" s="29">
        <f>R394*J381</f>
        <v>30</v>
      </c>
      <c r="S397" s="29" t="s">
        <v>175</v>
      </c>
      <c r="T397" s="29"/>
      <c r="U397" s="29"/>
      <c r="V397" s="29"/>
      <c r="W397" s="29"/>
      <c r="X397" s="29"/>
      <c r="Y397" s="29"/>
      <c r="Z397" s="29"/>
      <c r="AA397" s="29"/>
      <c r="AB397" s="29"/>
      <c r="AC397" s="30"/>
      <c r="AD397" s="31"/>
      <c r="AE397" s="31"/>
      <c r="AF397" s="31"/>
      <c r="AG397" s="31"/>
      <c r="AH397" s="31"/>
      <c r="AI397" s="32"/>
    </row>
    <row r="398" spans="1:35" x14ac:dyDescent="0.25">
      <c r="A398" s="27"/>
      <c r="B398" s="28"/>
      <c r="C398" s="29"/>
      <c r="D398" s="30"/>
      <c r="E398" s="28"/>
      <c r="F398" s="29"/>
      <c r="G398" s="29"/>
      <c r="H398" s="29"/>
      <c r="I398" s="29"/>
      <c r="J398" s="29"/>
      <c r="K398" s="29"/>
      <c r="L398" s="29"/>
      <c r="M398" s="29"/>
      <c r="N398" s="30"/>
      <c r="O398" s="60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30"/>
      <c r="AD398" s="31"/>
      <c r="AE398" s="31"/>
      <c r="AF398" s="31"/>
      <c r="AG398" s="31"/>
      <c r="AH398" s="31"/>
      <c r="AI398" s="32"/>
    </row>
    <row r="399" spans="1:35" x14ac:dyDescent="0.25">
      <c r="A399" s="27"/>
      <c r="B399" s="28"/>
      <c r="C399" s="29"/>
      <c r="D399" s="30"/>
      <c r="E399" s="28"/>
      <c r="F399" s="29"/>
      <c r="G399" s="29"/>
      <c r="H399" s="29"/>
      <c r="I399" s="29"/>
      <c r="J399" s="29"/>
      <c r="K399" s="29"/>
      <c r="L399" s="29"/>
      <c r="M399" s="29"/>
      <c r="N399" s="30"/>
      <c r="O399" s="60" t="s">
        <v>135</v>
      </c>
      <c r="P399" s="29" t="s">
        <v>180</v>
      </c>
      <c r="Q399" s="29"/>
      <c r="R399" s="29"/>
      <c r="S399" s="29"/>
      <c r="T399" s="29"/>
      <c r="U399" s="29"/>
      <c r="V399" s="29">
        <f>R389+R397</f>
        <v>60</v>
      </c>
      <c r="W399" s="29" t="s">
        <v>175</v>
      </c>
      <c r="X399" s="29"/>
      <c r="Y399" s="29"/>
      <c r="Z399" s="29"/>
      <c r="AA399" s="29"/>
      <c r="AB399" s="29"/>
      <c r="AC399" s="30"/>
      <c r="AD399" s="31"/>
      <c r="AE399" s="31"/>
      <c r="AF399" s="31"/>
      <c r="AG399" s="31"/>
      <c r="AH399" s="31"/>
      <c r="AI399" s="32"/>
    </row>
    <row r="400" spans="1:35" x14ac:dyDescent="0.25">
      <c r="A400" s="27"/>
      <c r="B400" s="28"/>
      <c r="C400" s="29"/>
      <c r="D400" s="30"/>
      <c r="E400" s="28"/>
      <c r="F400" s="29"/>
      <c r="G400" s="29"/>
      <c r="H400" s="29"/>
      <c r="I400" s="29"/>
      <c r="J400" s="29"/>
      <c r="K400" s="29"/>
      <c r="L400" s="29"/>
      <c r="M400" s="29"/>
      <c r="N400" s="30"/>
      <c r="O400" s="60" t="s">
        <v>135</v>
      </c>
      <c r="P400" s="29" t="s">
        <v>181</v>
      </c>
      <c r="Q400" s="29"/>
      <c r="R400" s="29"/>
      <c r="S400" s="29"/>
      <c r="T400" s="29"/>
      <c r="U400" s="29"/>
      <c r="V400" s="29"/>
      <c r="W400" s="29"/>
      <c r="X400" s="29"/>
      <c r="Y400" s="67">
        <f>V399/12</f>
        <v>5</v>
      </c>
      <c r="Z400" s="29" t="s">
        <v>132</v>
      </c>
      <c r="AA400" s="29"/>
      <c r="AB400" s="29"/>
      <c r="AC400" s="30"/>
      <c r="AD400" s="31"/>
      <c r="AE400" s="31"/>
      <c r="AF400" s="31"/>
      <c r="AG400" s="31"/>
      <c r="AH400" s="31"/>
      <c r="AI400" s="32"/>
    </row>
    <row r="401" spans="1:35" x14ac:dyDescent="0.25">
      <c r="A401" s="27"/>
      <c r="B401" s="28"/>
      <c r="C401" s="29"/>
      <c r="D401" s="30"/>
      <c r="E401" s="28"/>
      <c r="F401" s="29"/>
      <c r="G401" s="29"/>
      <c r="H401" s="29"/>
      <c r="I401" s="29"/>
      <c r="J401" s="29"/>
      <c r="K401" s="29"/>
      <c r="L401" s="29"/>
      <c r="M401" s="29"/>
      <c r="N401" s="30"/>
      <c r="O401" s="60" t="s">
        <v>135</v>
      </c>
      <c r="P401" s="15" t="s">
        <v>182</v>
      </c>
      <c r="Q401" s="68"/>
      <c r="R401" s="68"/>
      <c r="S401" s="68"/>
      <c r="T401" s="68"/>
      <c r="U401" s="68"/>
      <c r="V401" s="68"/>
      <c r="W401" s="68"/>
      <c r="X401" s="68" t="s">
        <v>29</v>
      </c>
      <c r="Y401" s="69">
        <f>Y400</f>
        <v>5</v>
      </c>
      <c r="Z401" s="70" t="s">
        <v>16</v>
      </c>
      <c r="AA401" s="68">
        <v>7.4</v>
      </c>
      <c r="AB401" s="29"/>
      <c r="AC401" s="30"/>
      <c r="AD401" s="31"/>
      <c r="AE401" s="31"/>
      <c r="AF401" s="31"/>
      <c r="AG401" s="31"/>
      <c r="AH401" s="31"/>
      <c r="AI401" s="32"/>
    </row>
    <row r="402" spans="1:35" x14ac:dyDescent="0.25">
      <c r="A402" s="27"/>
      <c r="B402" s="28"/>
      <c r="C402" s="29"/>
      <c r="D402" s="30"/>
      <c r="E402" s="28"/>
      <c r="F402" s="29"/>
      <c r="G402" s="29"/>
      <c r="H402" s="29"/>
      <c r="I402" s="29"/>
      <c r="J402" s="29"/>
      <c r="K402" s="29"/>
      <c r="L402" s="29"/>
      <c r="M402" s="29"/>
      <c r="N402" s="30"/>
      <c r="O402" s="60"/>
      <c r="P402" s="68"/>
      <c r="Q402" s="68"/>
      <c r="R402" s="68"/>
      <c r="S402" s="68"/>
      <c r="T402" s="68"/>
      <c r="U402" s="68"/>
      <c r="V402" s="68"/>
      <c r="W402" s="68"/>
      <c r="X402" s="68" t="s">
        <v>29</v>
      </c>
      <c r="Y402" s="71">
        <f>Y401*AA401</f>
        <v>37</v>
      </c>
      <c r="Z402" s="68" t="s">
        <v>133</v>
      </c>
      <c r="AA402" s="68"/>
      <c r="AB402" s="29"/>
      <c r="AC402" s="30"/>
      <c r="AD402" s="31"/>
      <c r="AE402" s="31"/>
      <c r="AF402" s="31"/>
      <c r="AG402" s="31"/>
      <c r="AH402" s="31"/>
      <c r="AI402" s="32"/>
    </row>
    <row r="403" spans="1:35" x14ac:dyDescent="0.25">
      <c r="A403" s="27"/>
      <c r="B403" s="28"/>
      <c r="C403" s="29"/>
      <c r="D403" s="30"/>
      <c r="E403" s="28"/>
      <c r="F403" s="29"/>
      <c r="G403" s="29"/>
      <c r="H403" s="29"/>
      <c r="I403" s="29"/>
      <c r="J403" s="29"/>
      <c r="K403" s="29"/>
      <c r="L403" s="29"/>
      <c r="M403" s="29"/>
      <c r="N403" s="30"/>
      <c r="O403" s="60"/>
      <c r="P403" s="68"/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29"/>
      <c r="AC403" s="30"/>
      <c r="AD403" s="31"/>
      <c r="AE403" s="31"/>
      <c r="AF403" s="31"/>
      <c r="AG403" s="31"/>
      <c r="AH403" s="31"/>
      <c r="AI403" s="32"/>
    </row>
    <row r="404" spans="1:35" x14ac:dyDescent="0.25">
      <c r="A404" s="27"/>
      <c r="B404" s="28"/>
      <c r="C404" s="29"/>
      <c r="D404" s="30"/>
      <c r="E404" s="28"/>
      <c r="F404" s="29"/>
      <c r="G404" s="29"/>
      <c r="H404" s="29"/>
      <c r="I404" s="29"/>
      <c r="J404" s="29"/>
      <c r="K404" s="29"/>
      <c r="L404" s="29"/>
      <c r="M404" s="29"/>
      <c r="N404" s="30"/>
      <c r="O404" s="65" t="s">
        <v>144</v>
      </c>
      <c r="P404" s="62" t="s">
        <v>350</v>
      </c>
      <c r="Q404" s="29"/>
      <c r="R404" s="29"/>
      <c r="S404" s="29"/>
      <c r="T404" s="29"/>
      <c r="U404" s="29"/>
      <c r="V404" s="29"/>
      <c r="W404" s="29"/>
      <c r="X404" s="29"/>
      <c r="Y404" s="29"/>
      <c r="Z404" s="68"/>
      <c r="AA404" s="68"/>
      <c r="AB404" s="29"/>
      <c r="AC404" s="30"/>
      <c r="AD404" s="31"/>
      <c r="AE404" s="39">
        <f>T410</f>
        <v>3</v>
      </c>
      <c r="AF404" s="31"/>
      <c r="AG404" s="31"/>
      <c r="AH404" s="31"/>
      <c r="AI404" s="32"/>
    </row>
    <row r="405" spans="1:35" x14ac:dyDescent="0.25">
      <c r="A405" s="27"/>
      <c r="B405" s="28"/>
      <c r="C405" s="29"/>
      <c r="D405" s="30"/>
      <c r="E405" s="28"/>
      <c r="F405" s="29"/>
      <c r="G405" s="29"/>
      <c r="H405" s="29"/>
      <c r="I405" s="29"/>
      <c r="J405" s="29"/>
      <c r="K405" s="29"/>
      <c r="L405" s="29"/>
      <c r="M405" s="29"/>
      <c r="N405" s="30"/>
      <c r="O405" s="28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68"/>
      <c r="AA405" s="68"/>
      <c r="AB405" s="29"/>
      <c r="AC405" s="30"/>
      <c r="AD405" s="31"/>
      <c r="AE405" s="31"/>
      <c r="AF405" s="31"/>
      <c r="AG405" s="31"/>
      <c r="AH405" s="31"/>
      <c r="AI405" s="32"/>
    </row>
    <row r="406" spans="1:35" x14ac:dyDescent="0.25">
      <c r="A406" s="27"/>
      <c r="B406" s="28"/>
      <c r="C406" s="29"/>
      <c r="D406" s="30"/>
      <c r="E406" s="28"/>
      <c r="F406" s="29"/>
      <c r="G406" s="29"/>
      <c r="H406" s="29"/>
      <c r="I406" s="29"/>
      <c r="J406" s="29"/>
      <c r="K406" s="29"/>
      <c r="L406" s="29"/>
      <c r="M406" s="29"/>
      <c r="N406" s="30"/>
      <c r="O406" s="28"/>
      <c r="P406" s="29" t="s">
        <v>21</v>
      </c>
      <c r="Q406" s="29"/>
      <c r="R406" s="29"/>
      <c r="S406" s="29">
        <f>J381</f>
        <v>2</v>
      </c>
      <c r="T406" s="29"/>
      <c r="U406" s="29"/>
      <c r="V406" s="29"/>
      <c r="W406" s="29"/>
      <c r="X406" s="29"/>
      <c r="Y406" s="29"/>
      <c r="Z406" s="68"/>
      <c r="AA406" s="68"/>
      <c r="AB406" s="29"/>
      <c r="AC406" s="30"/>
      <c r="AD406" s="31"/>
      <c r="AE406" s="31"/>
      <c r="AF406" s="31"/>
      <c r="AG406" s="31"/>
      <c r="AH406" s="31"/>
      <c r="AI406" s="32"/>
    </row>
    <row r="407" spans="1:35" x14ac:dyDescent="0.25">
      <c r="A407" s="27"/>
      <c r="B407" s="28"/>
      <c r="C407" s="29"/>
      <c r="D407" s="30"/>
      <c r="E407" s="28"/>
      <c r="F407" s="29"/>
      <c r="G407" s="29"/>
      <c r="H407" s="29"/>
      <c r="I407" s="29"/>
      <c r="J407" s="29"/>
      <c r="K407" s="29"/>
      <c r="L407" s="29"/>
      <c r="M407" s="29"/>
      <c r="N407" s="30"/>
      <c r="O407" s="28"/>
      <c r="P407" s="29" t="s">
        <v>22</v>
      </c>
      <c r="Q407" s="29"/>
      <c r="R407" s="29"/>
      <c r="S407" s="29">
        <f>E388</f>
        <v>1.5</v>
      </c>
      <c r="T407" s="29"/>
      <c r="U407" s="29"/>
      <c r="V407" s="29"/>
      <c r="W407" s="29"/>
      <c r="X407" s="29"/>
      <c r="Y407" s="29"/>
      <c r="Z407" s="68"/>
      <c r="AA407" s="68"/>
      <c r="AB407" s="29"/>
      <c r="AC407" s="30"/>
      <c r="AD407" s="31"/>
      <c r="AE407" s="31"/>
      <c r="AF407" s="31"/>
      <c r="AG407" s="31"/>
      <c r="AH407" s="31"/>
      <c r="AI407" s="32"/>
    </row>
    <row r="408" spans="1:35" x14ac:dyDescent="0.25">
      <c r="A408" s="27"/>
      <c r="B408" s="28"/>
      <c r="C408" s="29"/>
      <c r="D408" s="30"/>
      <c r="E408" s="28"/>
      <c r="F408" s="29"/>
      <c r="G408" s="29"/>
      <c r="H408" s="29"/>
      <c r="I408" s="29"/>
      <c r="J408" s="29"/>
      <c r="K408" s="29"/>
      <c r="L408" s="29"/>
      <c r="M408" s="29"/>
      <c r="N408" s="30"/>
      <c r="O408" s="28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68"/>
      <c r="AA408" s="68"/>
      <c r="AB408" s="29"/>
      <c r="AC408" s="30"/>
      <c r="AD408" s="31"/>
      <c r="AE408" s="31"/>
      <c r="AF408" s="31"/>
      <c r="AG408" s="31"/>
      <c r="AH408" s="31"/>
      <c r="AI408" s="32"/>
    </row>
    <row r="409" spans="1:35" x14ac:dyDescent="0.25">
      <c r="A409" s="27"/>
      <c r="B409" s="28"/>
      <c r="C409" s="29"/>
      <c r="D409" s="30"/>
      <c r="E409" s="28"/>
      <c r="F409" s="29"/>
      <c r="G409" s="29"/>
      <c r="H409" s="29"/>
      <c r="I409" s="29"/>
      <c r="J409" s="29"/>
      <c r="K409" s="29"/>
      <c r="L409" s="29"/>
      <c r="M409" s="29"/>
      <c r="N409" s="30"/>
      <c r="O409" s="28"/>
      <c r="P409" s="29" t="s">
        <v>1881</v>
      </c>
      <c r="Q409" s="29"/>
      <c r="R409" s="29"/>
      <c r="S409" s="29"/>
      <c r="T409" s="29"/>
      <c r="U409" s="29"/>
      <c r="V409" s="29"/>
      <c r="W409" s="29"/>
      <c r="X409" s="29"/>
      <c r="Y409" s="29"/>
      <c r="Z409" s="68"/>
      <c r="AA409" s="68"/>
      <c r="AB409" s="29"/>
      <c r="AC409" s="30"/>
      <c r="AD409" s="31"/>
      <c r="AE409" s="31"/>
      <c r="AF409" s="31"/>
      <c r="AG409" s="31"/>
      <c r="AH409" s="31"/>
      <c r="AI409" s="32"/>
    </row>
    <row r="410" spans="1:35" x14ac:dyDescent="0.25">
      <c r="A410" s="27"/>
      <c r="B410" s="28"/>
      <c r="C410" s="29"/>
      <c r="D410" s="30"/>
      <c r="E410" s="28"/>
      <c r="F410" s="29"/>
      <c r="G410" s="29"/>
      <c r="H410" s="29"/>
      <c r="I410" s="29"/>
      <c r="J410" s="29"/>
      <c r="K410" s="29"/>
      <c r="L410" s="29"/>
      <c r="M410" s="29"/>
      <c r="N410" s="30"/>
      <c r="O410" s="28"/>
      <c r="P410" s="29"/>
      <c r="Q410" s="29"/>
      <c r="R410" s="29"/>
      <c r="S410" s="29" t="s">
        <v>17</v>
      </c>
      <c r="T410" s="57">
        <f>S406*S407</f>
        <v>3</v>
      </c>
      <c r="U410" s="57" t="s">
        <v>82</v>
      </c>
      <c r="V410" s="29"/>
      <c r="W410" s="29"/>
      <c r="X410" s="29"/>
      <c r="Y410" s="29"/>
      <c r="Z410" s="68"/>
      <c r="AA410" s="68"/>
      <c r="AB410" s="29"/>
      <c r="AC410" s="30"/>
      <c r="AD410" s="31"/>
      <c r="AE410" s="31"/>
      <c r="AF410" s="31"/>
      <c r="AG410" s="31"/>
      <c r="AH410" s="31"/>
      <c r="AI410" s="32"/>
    </row>
    <row r="411" spans="1:35" x14ac:dyDescent="0.25">
      <c r="A411" s="27"/>
      <c r="B411" s="28"/>
      <c r="C411" s="29"/>
      <c r="D411" s="30"/>
      <c r="E411" s="28"/>
      <c r="F411" s="29"/>
      <c r="G411" s="29"/>
      <c r="H411" s="29"/>
      <c r="I411" s="29"/>
      <c r="J411" s="29"/>
      <c r="K411" s="29"/>
      <c r="L411" s="29"/>
      <c r="M411" s="29"/>
      <c r="N411" s="30"/>
      <c r="O411" s="28"/>
      <c r="P411" s="68"/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29"/>
      <c r="AC411" s="30"/>
      <c r="AD411" s="31"/>
      <c r="AE411" s="31"/>
      <c r="AF411" s="31"/>
      <c r="AG411" s="31"/>
      <c r="AH411" s="31"/>
      <c r="AI411" s="32"/>
    </row>
    <row r="412" spans="1:35" x14ac:dyDescent="0.25">
      <c r="A412" s="27"/>
      <c r="B412" s="28"/>
      <c r="C412" s="29"/>
      <c r="D412" s="30"/>
      <c r="E412" s="28"/>
      <c r="F412" s="29"/>
      <c r="G412" s="29"/>
      <c r="H412" s="29"/>
      <c r="I412" s="29"/>
      <c r="J412" s="29"/>
      <c r="K412" s="29"/>
      <c r="L412" s="29"/>
      <c r="M412" s="29"/>
      <c r="N412" s="30"/>
      <c r="O412" s="75" t="s">
        <v>352</v>
      </c>
      <c r="P412" s="64" t="s">
        <v>156</v>
      </c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30"/>
      <c r="AD412" s="31"/>
      <c r="AE412" s="31"/>
      <c r="AF412" s="39">
        <f>R414</f>
        <v>0.36</v>
      </c>
      <c r="AG412" s="31"/>
      <c r="AH412" s="31"/>
      <c r="AI412" s="32"/>
    </row>
    <row r="413" spans="1:35" x14ac:dyDescent="0.25">
      <c r="A413" s="27"/>
      <c r="B413" s="28"/>
      <c r="C413" s="29"/>
      <c r="D413" s="30"/>
      <c r="E413" s="28"/>
      <c r="F413" s="29"/>
      <c r="G413" s="29"/>
      <c r="H413" s="29"/>
      <c r="I413" s="29"/>
      <c r="J413" s="29"/>
      <c r="K413" s="29"/>
      <c r="L413" s="29"/>
      <c r="M413" s="29"/>
      <c r="N413" s="30"/>
      <c r="O413" s="60"/>
      <c r="P413" s="29" t="s">
        <v>183</v>
      </c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30"/>
      <c r="AD413" s="31"/>
      <c r="AE413" s="31"/>
      <c r="AF413" s="31"/>
      <c r="AG413" s="31"/>
      <c r="AH413" s="31"/>
      <c r="AI413" s="32"/>
    </row>
    <row r="414" spans="1:35" x14ac:dyDescent="0.25">
      <c r="A414" s="27"/>
      <c r="B414" s="28"/>
      <c r="C414" s="29"/>
      <c r="D414" s="30"/>
      <c r="E414" s="28"/>
      <c r="F414" s="29"/>
      <c r="G414" s="29"/>
      <c r="H414" s="29"/>
      <c r="I414" s="29"/>
      <c r="J414" s="29"/>
      <c r="K414" s="29"/>
      <c r="L414" s="29"/>
      <c r="M414" s="29"/>
      <c r="N414" s="30"/>
      <c r="O414" s="28"/>
      <c r="P414" s="29"/>
      <c r="Q414" s="29" t="s">
        <v>29</v>
      </c>
      <c r="R414" s="57">
        <f>E388*J381*E395</f>
        <v>0.36</v>
      </c>
      <c r="S414" s="29" t="s">
        <v>158</v>
      </c>
      <c r="T414" s="29"/>
      <c r="U414" s="29"/>
      <c r="V414" s="29"/>
      <c r="W414" s="29"/>
      <c r="X414" s="29"/>
      <c r="Y414" s="29"/>
      <c r="Z414" s="29"/>
      <c r="AA414" s="29"/>
      <c r="AB414" s="29"/>
      <c r="AC414" s="30"/>
      <c r="AD414" s="31"/>
      <c r="AE414" s="31"/>
      <c r="AF414" s="31"/>
      <c r="AG414" s="31"/>
      <c r="AH414" s="31"/>
      <c r="AI414" s="32"/>
    </row>
    <row r="415" spans="1:35" ht="15.75" thickBot="1" x14ac:dyDescent="0.3">
      <c r="A415" s="5"/>
      <c r="B415" s="17"/>
      <c r="C415" s="18"/>
      <c r="D415" s="19"/>
      <c r="E415" s="17"/>
      <c r="F415" s="18"/>
      <c r="G415" s="18"/>
      <c r="H415" s="18"/>
      <c r="I415" s="18"/>
      <c r="J415" s="18"/>
      <c r="K415" s="18"/>
      <c r="L415" s="18"/>
      <c r="M415" s="18"/>
      <c r="N415" s="19"/>
      <c r="O415" s="17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9"/>
      <c r="AD415" s="6"/>
      <c r="AE415" s="6"/>
      <c r="AF415" s="6"/>
      <c r="AG415" s="6"/>
      <c r="AH415" s="6"/>
      <c r="AI415" s="7"/>
    </row>
    <row r="416" spans="1:35" ht="15.75" thickTop="1" x14ac:dyDescent="0.25">
      <c r="A416" s="597"/>
      <c r="B416" s="272"/>
      <c r="C416" s="598"/>
      <c r="D416" s="273"/>
      <c r="E416" s="272"/>
      <c r="F416" s="598"/>
      <c r="G416" s="598"/>
      <c r="H416" s="598"/>
      <c r="I416" s="598"/>
      <c r="J416" s="598"/>
      <c r="K416" s="598"/>
      <c r="L416" s="598"/>
      <c r="M416" s="598"/>
      <c r="N416" s="273"/>
      <c r="O416" s="272"/>
      <c r="P416" s="598"/>
      <c r="Q416" s="598"/>
      <c r="R416" s="598"/>
      <c r="S416" s="598"/>
      <c r="T416" s="598"/>
      <c r="U416" s="598"/>
      <c r="V416" s="598"/>
      <c r="W416" s="598"/>
      <c r="X416" s="598"/>
      <c r="Y416" s="598"/>
      <c r="Z416" s="598"/>
      <c r="AA416" s="598"/>
      <c r="AB416" s="598"/>
      <c r="AC416" s="273"/>
      <c r="AD416" s="274"/>
      <c r="AE416" s="274"/>
      <c r="AF416" s="274"/>
      <c r="AG416" s="274"/>
      <c r="AH416" s="274"/>
      <c r="AI416" s="599"/>
    </row>
    <row r="417" spans="1:35" x14ac:dyDescent="0.25">
      <c r="A417" s="27"/>
      <c r="B417" s="28"/>
      <c r="C417" s="29"/>
      <c r="D417" s="30"/>
      <c r="E417" s="28"/>
      <c r="F417" s="29"/>
      <c r="G417" s="29"/>
      <c r="H417" s="29"/>
      <c r="I417" s="58">
        <v>2.8</v>
      </c>
      <c r="J417" s="29"/>
      <c r="K417" s="29"/>
      <c r="L417" s="29"/>
      <c r="M417" s="29"/>
      <c r="N417" s="30"/>
      <c r="O417" s="42" t="s">
        <v>184</v>
      </c>
      <c r="P417" s="64" t="s">
        <v>185</v>
      </c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30"/>
      <c r="AD417" s="31"/>
      <c r="AE417" s="31"/>
      <c r="AF417" s="31"/>
      <c r="AG417" s="31"/>
      <c r="AH417" s="31"/>
      <c r="AI417" s="32"/>
    </row>
    <row r="418" spans="1:35" x14ac:dyDescent="0.25">
      <c r="A418" s="27"/>
      <c r="B418" s="28"/>
      <c r="C418" s="29"/>
      <c r="D418" s="30"/>
      <c r="E418" s="28"/>
      <c r="F418" s="29"/>
      <c r="G418" s="29"/>
      <c r="H418" s="29"/>
      <c r="I418" s="29"/>
      <c r="J418" s="29"/>
      <c r="K418" s="29"/>
      <c r="L418" s="29"/>
      <c r="M418" s="29"/>
      <c r="N418" s="30"/>
      <c r="O418" s="72" t="s">
        <v>79</v>
      </c>
      <c r="P418" s="73" t="s">
        <v>125</v>
      </c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29"/>
      <c r="AC418" s="30"/>
      <c r="AD418" s="31"/>
      <c r="AE418" s="31"/>
      <c r="AF418" s="31"/>
      <c r="AG418" s="31"/>
      <c r="AH418" s="74">
        <f>Y438</f>
        <v>34.533333333333339</v>
      </c>
      <c r="AI418" s="32" t="s">
        <v>159</v>
      </c>
    </row>
    <row r="419" spans="1:35" x14ac:dyDescent="0.25">
      <c r="A419" s="27"/>
      <c r="B419" s="28"/>
      <c r="C419" s="29"/>
      <c r="D419" s="30"/>
      <c r="E419" s="28"/>
      <c r="F419" s="29"/>
      <c r="G419" s="29"/>
      <c r="H419" s="29"/>
      <c r="I419" s="29"/>
      <c r="J419" s="29"/>
      <c r="K419" s="29"/>
      <c r="L419" s="29"/>
      <c r="M419" s="29"/>
      <c r="N419" s="30"/>
      <c r="O419" s="60" t="s">
        <v>135</v>
      </c>
      <c r="P419" s="29" t="s">
        <v>170</v>
      </c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30"/>
      <c r="AD419" s="31"/>
      <c r="AE419" s="31"/>
      <c r="AF419" s="31"/>
      <c r="AG419" s="31"/>
      <c r="AH419" s="31"/>
      <c r="AI419" s="32"/>
    </row>
    <row r="420" spans="1:35" x14ac:dyDescent="0.25">
      <c r="A420" s="27"/>
      <c r="B420" s="28"/>
      <c r="C420" s="29"/>
      <c r="D420" s="30"/>
      <c r="E420" s="28"/>
      <c r="F420" s="29"/>
      <c r="G420" s="29"/>
      <c r="H420" s="29"/>
      <c r="I420" s="29"/>
      <c r="J420" s="29"/>
      <c r="K420" s="29"/>
      <c r="L420" s="29"/>
      <c r="M420" s="29"/>
      <c r="N420" s="30"/>
      <c r="O420" s="60"/>
      <c r="P420" s="29"/>
      <c r="Q420" s="29" t="s">
        <v>171</v>
      </c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30"/>
      <c r="AD420" s="31"/>
      <c r="AE420" s="31"/>
      <c r="AF420" s="31"/>
      <c r="AG420" s="31"/>
      <c r="AH420" s="31"/>
      <c r="AI420" s="32"/>
    </row>
    <row r="421" spans="1:35" x14ac:dyDescent="0.25">
      <c r="A421" s="27"/>
      <c r="B421" s="28"/>
      <c r="C421" s="29"/>
      <c r="D421" s="30"/>
      <c r="E421" s="28"/>
      <c r="F421" s="29"/>
      <c r="G421" s="29"/>
      <c r="H421" s="29"/>
      <c r="I421" s="29"/>
      <c r="J421" s="29"/>
      <c r="K421" s="29"/>
      <c r="L421" s="29"/>
      <c r="M421" s="29"/>
      <c r="N421" s="30"/>
      <c r="O421" s="60"/>
      <c r="P421" s="29"/>
      <c r="Q421" t="s">
        <v>29</v>
      </c>
      <c r="R421" s="29">
        <f>I417</f>
        <v>2.8</v>
      </c>
      <c r="S421" s="38" t="s">
        <v>138</v>
      </c>
      <c r="T421" s="29">
        <f>0.2</f>
        <v>0.2</v>
      </c>
      <c r="U421" s="38" t="s">
        <v>16</v>
      </c>
      <c r="V421" s="29">
        <v>2</v>
      </c>
      <c r="W421" s="29"/>
      <c r="X421" s="29"/>
      <c r="Y421" s="29"/>
      <c r="Z421" s="29"/>
      <c r="AA421" s="29"/>
      <c r="AB421" s="29"/>
      <c r="AC421" s="30"/>
      <c r="AD421" s="31"/>
      <c r="AE421" s="31"/>
      <c r="AF421" s="31"/>
      <c r="AG421" s="31"/>
      <c r="AH421" s="31"/>
      <c r="AI421" s="32"/>
    </row>
    <row r="422" spans="1:35" x14ac:dyDescent="0.25">
      <c r="A422" s="27"/>
      <c r="B422" s="28"/>
      <c r="C422" s="29"/>
      <c r="D422" s="30"/>
      <c r="E422" s="54">
        <v>1</v>
      </c>
      <c r="F422" s="29"/>
      <c r="G422" s="29"/>
      <c r="H422" s="29"/>
      <c r="I422" s="29"/>
      <c r="J422" s="29"/>
      <c r="K422" s="29"/>
      <c r="L422" s="29"/>
      <c r="M422" s="29"/>
      <c r="N422" s="30"/>
      <c r="O422" s="60"/>
      <c r="P422" s="29"/>
      <c r="Q422" t="s">
        <v>29</v>
      </c>
      <c r="R422" s="29">
        <f>R421/T421*V421</f>
        <v>27.999999999999996</v>
      </c>
      <c r="S422" s="29" t="s">
        <v>152</v>
      </c>
      <c r="T422" s="29"/>
      <c r="U422" s="29"/>
      <c r="V422" s="29"/>
      <c r="W422" s="29"/>
      <c r="X422" s="29"/>
      <c r="Y422" s="29"/>
      <c r="Z422" s="29"/>
      <c r="AA422" s="29"/>
      <c r="AB422" s="29"/>
      <c r="AC422" s="30"/>
      <c r="AD422" s="31"/>
      <c r="AE422" s="31"/>
      <c r="AF422" s="31"/>
      <c r="AG422" s="31"/>
      <c r="AH422" s="31"/>
      <c r="AI422" s="32"/>
    </row>
    <row r="423" spans="1:35" x14ac:dyDescent="0.25">
      <c r="A423" s="27"/>
      <c r="B423" s="28"/>
      <c r="C423" s="29"/>
      <c r="D423" s="30"/>
      <c r="E423" s="28"/>
      <c r="F423" s="29"/>
      <c r="G423" s="29"/>
      <c r="H423" s="29"/>
      <c r="I423" s="29"/>
      <c r="J423" s="29"/>
      <c r="K423" s="29"/>
      <c r="L423" s="29"/>
      <c r="M423" s="29"/>
      <c r="N423" s="30"/>
      <c r="O423" s="60" t="s">
        <v>135</v>
      </c>
      <c r="P423" s="29" t="s">
        <v>173</v>
      </c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30"/>
      <c r="AD423" s="31"/>
      <c r="AE423" s="31"/>
      <c r="AF423" s="31"/>
      <c r="AG423" s="31"/>
      <c r="AH423" s="31"/>
      <c r="AI423" s="32"/>
    </row>
    <row r="424" spans="1:35" x14ac:dyDescent="0.25">
      <c r="A424" s="27"/>
      <c r="B424" s="28"/>
      <c r="C424" s="29"/>
      <c r="D424" s="30"/>
      <c r="E424" s="28"/>
      <c r="F424" s="29"/>
      <c r="G424" s="29"/>
      <c r="H424" s="29"/>
      <c r="I424" s="29"/>
      <c r="J424" s="29"/>
      <c r="K424" s="29"/>
      <c r="L424" s="29"/>
      <c r="M424" s="29"/>
      <c r="N424" s="30"/>
      <c r="O424" s="60"/>
      <c r="P424" s="29"/>
      <c r="Q424" s="29" t="s">
        <v>29</v>
      </c>
      <c r="R424" s="29">
        <f>E422</f>
        <v>1</v>
      </c>
      <c r="S424" s="38" t="s">
        <v>16</v>
      </c>
      <c r="T424" s="29">
        <f>R422</f>
        <v>27.999999999999996</v>
      </c>
      <c r="U424" s="29"/>
      <c r="V424" s="29"/>
      <c r="W424" s="29"/>
      <c r="X424" s="29"/>
      <c r="Y424" s="29"/>
      <c r="Z424" s="29"/>
      <c r="AA424" s="29"/>
      <c r="AB424" s="29"/>
      <c r="AC424" s="30"/>
      <c r="AD424" s="31"/>
      <c r="AE424" s="31"/>
      <c r="AF424" s="31"/>
      <c r="AG424" s="31"/>
      <c r="AH424" s="31"/>
      <c r="AI424" s="32"/>
    </row>
    <row r="425" spans="1:35" x14ac:dyDescent="0.25">
      <c r="A425" s="27"/>
      <c r="B425" s="28"/>
      <c r="C425" s="29"/>
      <c r="D425" s="30"/>
      <c r="E425" s="28"/>
      <c r="F425" s="29"/>
      <c r="G425" s="29"/>
      <c r="H425" s="29"/>
      <c r="I425" s="29"/>
      <c r="J425" s="29"/>
      <c r="K425" s="29"/>
      <c r="L425" s="29"/>
      <c r="M425" s="29"/>
      <c r="N425" s="30"/>
      <c r="O425" s="60"/>
      <c r="P425" s="29"/>
      <c r="Q425" s="29" t="s">
        <v>29</v>
      </c>
      <c r="R425" s="29">
        <f>R424*T424</f>
        <v>27.999999999999996</v>
      </c>
      <c r="S425" s="29" t="s">
        <v>175</v>
      </c>
      <c r="T425" s="29"/>
      <c r="U425" s="29"/>
      <c r="V425" s="29"/>
      <c r="W425" s="29"/>
      <c r="X425" s="29"/>
      <c r="Y425" s="29"/>
      <c r="Z425" s="29"/>
      <c r="AA425" s="29"/>
      <c r="AB425" s="29"/>
      <c r="AC425" s="30"/>
      <c r="AD425" s="31"/>
      <c r="AE425" s="31"/>
      <c r="AF425" s="31"/>
      <c r="AG425" s="31"/>
      <c r="AH425" s="31"/>
      <c r="AI425" s="32"/>
    </row>
    <row r="426" spans="1:35" x14ac:dyDescent="0.25">
      <c r="A426" s="27"/>
      <c r="B426" s="28"/>
      <c r="C426" s="29"/>
      <c r="D426" s="30"/>
      <c r="E426" s="28"/>
      <c r="F426" s="29"/>
      <c r="G426" s="29"/>
      <c r="H426" s="29"/>
      <c r="I426" s="29"/>
      <c r="J426" s="29"/>
      <c r="K426" s="29"/>
      <c r="L426" s="29"/>
      <c r="M426" s="29"/>
      <c r="N426" s="30"/>
      <c r="O426" s="60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30"/>
      <c r="AD426" s="31"/>
      <c r="AE426" s="31"/>
      <c r="AF426" s="31"/>
      <c r="AG426" s="31"/>
      <c r="AH426" s="31"/>
      <c r="AI426" s="32"/>
    </row>
    <row r="427" spans="1:35" x14ac:dyDescent="0.25">
      <c r="A427" s="27"/>
      <c r="B427" s="28"/>
      <c r="C427" s="29"/>
      <c r="D427" s="30"/>
      <c r="E427" s="28"/>
      <c r="F427" s="29"/>
      <c r="G427" s="29"/>
      <c r="H427" s="29"/>
      <c r="I427" s="29"/>
      <c r="J427" s="29"/>
      <c r="K427" s="29"/>
      <c r="L427" s="29"/>
      <c r="M427" s="29"/>
      <c r="N427" s="30"/>
      <c r="O427" s="60" t="s">
        <v>135</v>
      </c>
      <c r="P427" s="29" t="s">
        <v>176</v>
      </c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30"/>
      <c r="AD427" s="31"/>
      <c r="AE427" s="31"/>
      <c r="AF427" s="31"/>
      <c r="AG427" s="31"/>
      <c r="AH427" s="31"/>
      <c r="AI427" s="32"/>
    </row>
    <row r="428" spans="1:35" x14ac:dyDescent="0.25">
      <c r="A428" s="27"/>
      <c r="B428" s="28"/>
      <c r="C428" s="29"/>
      <c r="D428" s="30"/>
      <c r="E428" s="28"/>
      <c r="F428" s="29"/>
      <c r="G428" s="29"/>
      <c r="H428" s="29"/>
      <c r="I428" s="29"/>
      <c r="J428" s="29"/>
      <c r="K428" s="29"/>
      <c r="L428" s="29"/>
      <c r="M428" s="29"/>
      <c r="N428" s="30"/>
      <c r="O428" s="60"/>
      <c r="P428" s="29"/>
      <c r="Q428" s="29" t="s">
        <v>171</v>
      </c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30"/>
      <c r="AD428" s="31"/>
      <c r="AE428" s="31"/>
      <c r="AF428" s="31"/>
      <c r="AG428" s="31"/>
      <c r="AH428" s="31"/>
      <c r="AI428" s="32"/>
    </row>
    <row r="429" spans="1:35" x14ac:dyDescent="0.25">
      <c r="A429" s="27"/>
      <c r="B429" s="28"/>
      <c r="C429" s="29"/>
      <c r="D429" s="30"/>
      <c r="E429" s="54">
        <v>0.12</v>
      </c>
      <c r="F429" s="29"/>
      <c r="G429" s="29"/>
      <c r="H429" s="29"/>
      <c r="I429" s="29"/>
      <c r="J429" s="29"/>
      <c r="K429" s="29"/>
      <c r="L429" s="29"/>
      <c r="M429" s="29"/>
      <c r="N429" s="30"/>
      <c r="O429" s="60"/>
      <c r="P429" s="29"/>
      <c r="Q429" t="s">
        <v>29</v>
      </c>
      <c r="R429" s="29">
        <f>E422</f>
        <v>1</v>
      </c>
      <c r="S429" s="38" t="s">
        <v>186</v>
      </c>
      <c r="T429" s="29">
        <v>0.2</v>
      </c>
      <c r="U429" s="38" t="s">
        <v>16</v>
      </c>
      <c r="V429" s="29">
        <v>2</v>
      </c>
      <c r="W429" s="29"/>
      <c r="X429" s="29"/>
      <c r="Y429" s="29"/>
      <c r="Z429" s="29"/>
      <c r="AA429" s="29"/>
      <c r="AB429" s="29"/>
      <c r="AC429" s="30"/>
      <c r="AD429" s="31"/>
      <c r="AE429" s="31"/>
      <c r="AF429" s="31"/>
      <c r="AG429" s="31"/>
      <c r="AH429" s="31"/>
      <c r="AI429" s="32"/>
    </row>
    <row r="430" spans="1:35" x14ac:dyDescent="0.25">
      <c r="A430" s="27"/>
      <c r="B430" s="28"/>
      <c r="C430" s="29"/>
      <c r="D430" s="30"/>
      <c r="E430" s="28"/>
      <c r="F430" s="29"/>
      <c r="G430" s="29"/>
      <c r="H430" s="29"/>
      <c r="I430" s="29"/>
      <c r="J430" s="29"/>
      <c r="K430" s="29"/>
      <c r="L430" s="29"/>
      <c r="M430" s="29"/>
      <c r="N430" s="30"/>
      <c r="O430" s="60"/>
      <c r="P430" s="29"/>
      <c r="Q430" t="s">
        <v>29</v>
      </c>
      <c r="R430" s="29">
        <f>R429/T429*V429</f>
        <v>10</v>
      </c>
      <c r="S430" s="29" t="s">
        <v>152</v>
      </c>
      <c r="T430" s="29"/>
      <c r="U430" s="29"/>
      <c r="V430" s="29"/>
      <c r="W430" s="29"/>
      <c r="X430" s="29"/>
      <c r="Y430" s="29"/>
      <c r="Z430" s="29"/>
      <c r="AA430" s="29"/>
      <c r="AB430" s="29"/>
      <c r="AC430" s="30"/>
      <c r="AD430" s="31"/>
      <c r="AE430" s="31"/>
      <c r="AF430" s="31"/>
      <c r="AG430" s="31"/>
      <c r="AH430" s="31"/>
      <c r="AI430" s="32"/>
    </row>
    <row r="431" spans="1:35" x14ac:dyDescent="0.25">
      <c r="A431" s="27"/>
      <c r="B431" s="28"/>
      <c r="C431" s="29"/>
      <c r="D431" s="30"/>
      <c r="E431" s="28"/>
      <c r="F431" s="29"/>
      <c r="G431" s="29"/>
      <c r="H431" s="29"/>
      <c r="I431" s="29"/>
      <c r="J431" s="29"/>
      <c r="K431" s="29"/>
      <c r="L431" s="29"/>
      <c r="M431" s="29"/>
      <c r="N431" s="30"/>
      <c r="O431" s="60" t="s">
        <v>135</v>
      </c>
      <c r="P431" s="29" t="s">
        <v>178</v>
      </c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30"/>
      <c r="AD431" s="31"/>
      <c r="AE431" s="31"/>
      <c r="AF431" s="31"/>
      <c r="AG431" s="31"/>
      <c r="AH431" s="31"/>
      <c r="AI431" s="32"/>
    </row>
    <row r="432" spans="1:35" x14ac:dyDescent="0.25">
      <c r="A432" s="27"/>
      <c r="B432" s="28"/>
      <c r="C432" s="29"/>
      <c r="D432" s="30"/>
      <c r="E432" s="28"/>
      <c r="F432" s="29"/>
      <c r="G432" s="29"/>
      <c r="H432" s="29"/>
      <c r="I432" s="29"/>
      <c r="J432" s="29"/>
      <c r="K432" s="29"/>
      <c r="L432" s="29"/>
      <c r="M432" s="29"/>
      <c r="N432" s="30"/>
      <c r="O432" s="60"/>
      <c r="P432" s="29"/>
      <c r="Q432" s="29" t="s">
        <v>29</v>
      </c>
      <c r="R432" s="29">
        <f>R430</f>
        <v>10</v>
      </c>
      <c r="S432" s="38" t="s">
        <v>16</v>
      </c>
      <c r="T432" s="29">
        <f>I417</f>
        <v>2.8</v>
      </c>
      <c r="U432" s="29"/>
      <c r="V432" s="29"/>
      <c r="W432" s="29"/>
      <c r="X432" s="29"/>
      <c r="Y432" s="29"/>
      <c r="Z432" s="29"/>
      <c r="AA432" s="29"/>
      <c r="AB432" s="29"/>
      <c r="AC432" s="30"/>
      <c r="AD432" s="31"/>
      <c r="AE432" s="31"/>
      <c r="AF432" s="31"/>
      <c r="AG432" s="31"/>
      <c r="AH432" s="31"/>
      <c r="AI432" s="32"/>
    </row>
    <row r="433" spans="1:35" x14ac:dyDescent="0.25">
      <c r="A433" s="27"/>
      <c r="B433" s="28"/>
      <c r="C433" s="29"/>
      <c r="D433" s="30"/>
      <c r="E433" s="28"/>
      <c r="F433" s="29"/>
      <c r="G433" s="29"/>
      <c r="H433" s="29"/>
      <c r="I433" s="29"/>
      <c r="J433" s="29"/>
      <c r="K433" s="29"/>
      <c r="L433" s="29"/>
      <c r="M433" s="29"/>
      <c r="N433" s="30"/>
      <c r="O433" s="60"/>
      <c r="P433" s="29"/>
      <c r="Q433" s="29" t="s">
        <v>29</v>
      </c>
      <c r="R433" s="29">
        <f>R432*T432</f>
        <v>28</v>
      </c>
      <c r="S433" s="29" t="s">
        <v>175</v>
      </c>
      <c r="T433" s="29"/>
      <c r="U433" s="29"/>
      <c r="V433" s="29"/>
      <c r="W433" s="29"/>
      <c r="X433" s="29"/>
      <c r="Y433" s="29"/>
      <c r="Z433" s="29"/>
      <c r="AA433" s="29"/>
      <c r="AB433" s="29"/>
      <c r="AC433" s="30"/>
      <c r="AD433" s="31"/>
      <c r="AE433" s="31"/>
      <c r="AF433" s="31"/>
      <c r="AG433" s="31"/>
      <c r="AH433" s="31"/>
      <c r="AI433" s="32"/>
    </row>
    <row r="434" spans="1:35" x14ac:dyDescent="0.25">
      <c r="A434" s="27"/>
      <c r="B434" s="28"/>
      <c r="C434" s="29"/>
      <c r="D434" s="30"/>
      <c r="E434" s="28"/>
      <c r="F434" s="29"/>
      <c r="G434" s="29"/>
      <c r="H434" s="29"/>
      <c r="I434" s="29"/>
      <c r="J434" s="29"/>
      <c r="K434" s="29"/>
      <c r="L434" s="29"/>
      <c r="M434" s="29"/>
      <c r="N434" s="30"/>
      <c r="O434" s="60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30"/>
      <c r="AD434" s="31"/>
      <c r="AE434" s="31"/>
      <c r="AF434" s="31"/>
      <c r="AG434" s="31"/>
      <c r="AH434" s="31"/>
      <c r="AI434" s="32"/>
    </row>
    <row r="435" spans="1:35" x14ac:dyDescent="0.25">
      <c r="A435" s="27"/>
      <c r="B435" s="28"/>
      <c r="C435" s="29"/>
      <c r="D435" s="30"/>
      <c r="E435" s="28"/>
      <c r="F435" s="29"/>
      <c r="G435" s="29"/>
      <c r="H435" s="29"/>
      <c r="I435" s="29"/>
      <c r="J435" s="29"/>
      <c r="K435" s="29"/>
      <c r="L435" s="29"/>
      <c r="M435" s="29"/>
      <c r="N435" s="30"/>
      <c r="O435" s="60" t="s">
        <v>135</v>
      </c>
      <c r="P435" s="29" t="s">
        <v>180</v>
      </c>
      <c r="Q435" s="29"/>
      <c r="R435" s="29"/>
      <c r="S435" s="29"/>
      <c r="T435" s="29"/>
      <c r="U435" s="29"/>
      <c r="V435" s="29">
        <f>R425+R433</f>
        <v>56</v>
      </c>
      <c r="W435" s="29" t="s">
        <v>175</v>
      </c>
      <c r="X435" s="29"/>
      <c r="Y435" s="29"/>
      <c r="Z435" s="29"/>
      <c r="AA435" s="29"/>
      <c r="AB435" s="29"/>
      <c r="AC435" s="30"/>
      <c r="AD435" s="31"/>
      <c r="AE435" s="31"/>
      <c r="AF435" s="31"/>
      <c r="AG435" s="31"/>
      <c r="AH435" s="31"/>
      <c r="AI435" s="32"/>
    </row>
    <row r="436" spans="1:35" x14ac:dyDescent="0.25">
      <c r="A436" s="27"/>
      <c r="B436" s="28"/>
      <c r="C436" s="29"/>
      <c r="D436" s="30"/>
      <c r="E436" s="28"/>
      <c r="F436" s="29"/>
      <c r="G436" s="29"/>
      <c r="H436" s="29"/>
      <c r="I436" s="29"/>
      <c r="J436" s="29"/>
      <c r="K436" s="29"/>
      <c r="L436" s="29"/>
      <c r="M436" s="29"/>
      <c r="N436" s="30"/>
      <c r="O436" s="60" t="s">
        <v>135</v>
      </c>
      <c r="P436" s="29" t="s">
        <v>181</v>
      </c>
      <c r="Q436" s="29"/>
      <c r="R436" s="29"/>
      <c r="S436" s="29"/>
      <c r="T436" s="29"/>
      <c r="U436" s="29"/>
      <c r="V436" s="29"/>
      <c r="W436" s="29"/>
      <c r="X436" s="29"/>
      <c r="Y436" s="67">
        <f>V435/12</f>
        <v>4.666666666666667</v>
      </c>
      <c r="Z436" s="29" t="s">
        <v>132</v>
      </c>
      <c r="AA436" s="29"/>
      <c r="AB436" s="29"/>
      <c r="AC436" s="30"/>
      <c r="AD436" s="31"/>
      <c r="AE436" s="31"/>
      <c r="AF436" s="31"/>
      <c r="AG436" s="31"/>
      <c r="AH436" s="31"/>
      <c r="AI436" s="32"/>
    </row>
    <row r="437" spans="1:35" x14ac:dyDescent="0.25">
      <c r="A437" s="27"/>
      <c r="B437" s="28"/>
      <c r="C437" s="29"/>
      <c r="D437" s="30"/>
      <c r="E437" s="28"/>
      <c r="F437" s="29"/>
      <c r="G437" s="29"/>
      <c r="H437" s="29"/>
      <c r="I437" s="29"/>
      <c r="J437" s="29"/>
      <c r="K437" s="29"/>
      <c r="L437" s="29"/>
      <c r="M437" s="29"/>
      <c r="N437" s="30"/>
      <c r="O437" s="60" t="s">
        <v>135</v>
      </c>
      <c r="P437" s="15" t="s">
        <v>182</v>
      </c>
      <c r="Q437" s="68"/>
      <c r="R437" s="68"/>
      <c r="S437" s="68"/>
      <c r="T437" s="68"/>
      <c r="U437" s="68"/>
      <c r="V437" s="68"/>
      <c r="W437" s="68"/>
      <c r="X437" s="68" t="s">
        <v>29</v>
      </c>
      <c r="Y437" s="69">
        <f>Y436</f>
        <v>4.666666666666667</v>
      </c>
      <c r="Z437" s="70" t="s">
        <v>16</v>
      </c>
      <c r="AA437" s="68">
        <v>7.4</v>
      </c>
      <c r="AB437" s="29"/>
      <c r="AC437" s="30"/>
      <c r="AD437" s="31"/>
      <c r="AE437" s="31"/>
      <c r="AF437" s="31"/>
      <c r="AG437" s="31"/>
      <c r="AH437" s="31"/>
      <c r="AI437" s="32"/>
    </row>
    <row r="438" spans="1:35" x14ac:dyDescent="0.25">
      <c r="A438" s="27"/>
      <c r="B438" s="28"/>
      <c r="C438" s="29"/>
      <c r="D438" s="30"/>
      <c r="E438" s="28"/>
      <c r="F438" s="29"/>
      <c r="G438" s="29"/>
      <c r="H438" s="29"/>
      <c r="I438" s="29"/>
      <c r="J438" s="29"/>
      <c r="K438" s="29"/>
      <c r="L438" s="29"/>
      <c r="M438" s="29"/>
      <c r="N438" s="30"/>
      <c r="O438" s="60"/>
      <c r="P438" s="68"/>
      <c r="Q438" s="68"/>
      <c r="R438" s="68"/>
      <c r="S438" s="68"/>
      <c r="T438" s="68"/>
      <c r="U438" s="68"/>
      <c r="V438" s="68"/>
      <c r="W438" s="68"/>
      <c r="X438" s="68" t="s">
        <v>29</v>
      </c>
      <c r="Y438" s="71">
        <f>Y437*AA437</f>
        <v>34.533333333333339</v>
      </c>
      <c r="Z438" s="68" t="s">
        <v>133</v>
      </c>
      <c r="AA438" s="68"/>
      <c r="AB438" s="29"/>
      <c r="AC438" s="30"/>
      <c r="AD438" s="31"/>
      <c r="AE438" s="31"/>
      <c r="AF438" s="31"/>
      <c r="AG438" s="31"/>
      <c r="AH438" s="31"/>
      <c r="AI438" s="32"/>
    </row>
    <row r="439" spans="1:35" x14ac:dyDescent="0.25">
      <c r="A439" s="27"/>
      <c r="B439" s="28"/>
      <c r="C439" s="29"/>
      <c r="D439" s="30"/>
      <c r="E439" s="28"/>
      <c r="F439" s="29"/>
      <c r="G439" s="29"/>
      <c r="H439" s="29"/>
      <c r="I439" s="29"/>
      <c r="J439" s="29"/>
      <c r="K439" s="29"/>
      <c r="L439" s="29"/>
      <c r="M439" s="29"/>
      <c r="N439" s="30"/>
      <c r="O439" s="60"/>
      <c r="P439" s="68"/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29"/>
      <c r="AC439" s="30"/>
      <c r="AD439" s="31"/>
      <c r="AE439" s="31"/>
      <c r="AF439" s="31"/>
      <c r="AG439" s="31"/>
      <c r="AH439" s="31"/>
      <c r="AI439" s="32"/>
    </row>
    <row r="440" spans="1:35" x14ac:dyDescent="0.25">
      <c r="A440" s="27"/>
      <c r="B440" s="28"/>
      <c r="C440" s="29"/>
      <c r="D440" s="30"/>
      <c r="E440" s="28"/>
      <c r="F440" s="29"/>
      <c r="G440" s="29"/>
      <c r="H440" s="29"/>
      <c r="I440" s="29"/>
      <c r="J440" s="29"/>
      <c r="K440" s="29"/>
      <c r="L440" s="29"/>
      <c r="M440" s="29"/>
      <c r="N440" s="30"/>
      <c r="O440" s="65" t="s">
        <v>144</v>
      </c>
      <c r="P440" s="62" t="s">
        <v>350</v>
      </c>
      <c r="Q440" s="29"/>
      <c r="R440" s="29"/>
      <c r="S440" s="29"/>
      <c r="T440" s="29"/>
      <c r="U440" s="29"/>
      <c r="V440" s="29"/>
      <c r="W440" s="68"/>
      <c r="X440" s="68"/>
      <c r="Y440" s="68"/>
      <c r="Z440" s="68"/>
      <c r="AA440" s="68"/>
      <c r="AB440" s="29"/>
      <c r="AC440" s="30"/>
      <c r="AD440" s="31"/>
      <c r="AE440" s="39">
        <f>T446</f>
        <v>2.8</v>
      </c>
      <c r="AF440" s="31"/>
      <c r="AG440" s="31"/>
      <c r="AH440" s="31"/>
      <c r="AI440" s="32"/>
    </row>
    <row r="441" spans="1:35" x14ac:dyDescent="0.25">
      <c r="A441" s="27"/>
      <c r="B441" s="28"/>
      <c r="C441" s="29"/>
      <c r="D441" s="30"/>
      <c r="E441" s="28"/>
      <c r="F441" s="29"/>
      <c r="G441" s="29"/>
      <c r="H441" s="29"/>
      <c r="I441" s="29"/>
      <c r="J441" s="29"/>
      <c r="K441" s="29"/>
      <c r="L441" s="29"/>
      <c r="M441" s="29"/>
      <c r="N441" s="30"/>
      <c r="O441" s="28"/>
      <c r="P441" s="29"/>
      <c r="Q441" s="29"/>
      <c r="R441" s="29"/>
      <c r="S441" s="29"/>
      <c r="T441" s="29"/>
      <c r="U441" s="29"/>
      <c r="V441" s="29"/>
      <c r="W441" s="345"/>
      <c r="X441" s="345"/>
      <c r="Y441" s="345"/>
      <c r="Z441" s="345"/>
      <c r="AA441" s="345"/>
      <c r="AB441" s="29"/>
      <c r="AC441" s="30"/>
      <c r="AD441" s="31"/>
      <c r="AE441" s="31"/>
      <c r="AF441" s="31"/>
      <c r="AG441" s="31"/>
      <c r="AH441" s="31"/>
      <c r="AI441" s="32"/>
    </row>
    <row r="442" spans="1:35" x14ac:dyDescent="0.25">
      <c r="A442" s="27"/>
      <c r="B442" s="28"/>
      <c r="C442" s="29"/>
      <c r="D442" s="30"/>
      <c r="E442" s="28"/>
      <c r="F442" s="29"/>
      <c r="G442" s="29"/>
      <c r="H442" s="29"/>
      <c r="I442" s="29"/>
      <c r="J442" s="29"/>
      <c r="K442" s="29"/>
      <c r="L442" s="29"/>
      <c r="M442" s="29"/>
      <c r="N442" s="30"/>
      <c r="O442" s="28"/>
      <c r="P442" s="29" t="s">
        <v>21</v>
      </c>
      <c r="Q442" s="29"/>
      <c r="R442" s="29"/>
      <c r="S442" s="29">
        <f>I417</f>
        <v>2.8</v>
      </c>
      <c r="T442" s="29"/>
      <c r="U442" s="29"/>
      <c r="V442" s="29"/>
      <c r="W442" s="345"/>
      <c r="X442" s="345"/>
      <c r="Y442" s="345"/>
      <c r="Z442" s="345"/>
      <c r="AA442" s="345"/>
      <c r="AB442" s="29"/>
      <c r="AC442" s="30"/>
      <c r="AD442" s="31"/>
      <c r="AE442" s="31"/>
      <c r="AF442" s="31"/>
      <c r="AG442" s="31"/>
      <c r="AH442" s="31"/>
      <c r="AI442" s="32"/>
    </row>
    <row r="443" spans="1:35" x14ac:dyDescent="0.25">
      <c r="A443" s="27"/>
      <c r="B443" s="28"/>
      <c r="C443" s="29"/>
      <c r="D443" s="30"/>
      <c r="E443" s="28"/>
      <c r="F443" s="29"/>
      <c r="G443" s="29"/>
      <c r="H443" s="29"/>
      <c r="I443" s="29"/>
      <c r="J443" s="29"/>
      <c r="K443" s="29"/>
      <c r="L443" s="29"/>
      <c r="M443" s="29"/>
      <c r="N443" s="30"/>
      <c r="O443" s="28"/>
      <c r="P443" s="29" t="s">
        <v>22</v>
      </c>
      <c r="Q443" s="29"/>
      <c r="R443" s="29"/>
      <c r="S443" s="29">
        <f>E422</f>
        <v>1</v>
      </c>
      <c r="T443" s="29"/>
      <c r="U443" s="29"/>
      <c r="V443" s="29"/>
      <c r="W443" s="345"/>
      <c r="X443" s="345"/>
      <c r="Y443" s="345"/>
      <c r="Z443" s="345"/>
      <c r="AA443" s="345"/>
      <c r="AB443" s="29"/>
      <c r="AC443" s="30"/>
      <c r="AD443" s="31"/>
      <c r="AE443" s="31"/>
      <c r="AF443" s="31"/>
      <c r="AG443" s="31"/>
      <c r="AH443" s="31"/>
      <c r="AI443" s="32"/>
    </row>
    <row r="444" spans="1:35" x14ac:dyDescent="0.25">
      <c r="A444" s="27"/>
      <c r="B444" s="28"/>
      <c r="C444" s="29"/>
      <c r="D444" s="30"/>
      <c r="E444" s="28"/>
      <c r="F444" s="29"/>
      <c r="G444" s="29"/>
      <c r="H444" s="29"/>
      <c r="I444" s="29"/>
      <c r="J444" s="29"/>
      <c r="K444" s="29"/>
      <c r="L444" s="29"/>
      <c r="M444" s="29"/>
      <c r="N444" s="30"/>
      <c r="O444" s="28"/>
      <c r="P444" s="29"/>
      <c r="Q444" s="29"/>
      <c r="R444" s="29"/>
      <c r="S444" s="29"/>
      <c r="T444" s="29"/>
      <c r="U444" s="29"/>
      <c r="V444" s="29"/>
      <c r="W444" s="345"/>
      <c r="X444" s="345"/>
      <c r="Y444" s="345"/>
      <c r="Z444" s="345"/>
      <c r="AA444" s="345"/>
      <c r="AB444" s="29"/>
      <c r="AC444" s="30"/>
      <c r="AD444" s="31"/>
      <c r="AE444" s="31"/>
      <c r="AF444" s="31"/>
      <c r="AG444" s="31"/>
      <c r="AH444" s="31"/>
      <c r="AI444" s="32"/>
    </row>
    <row r="445" spans="1:35" x14ac:dyDescent="0.25">
      <c r="A445" s="27"/>
      <c r="B445" s="28"/>
      <c r="C445" s="29"/>
      <c r="D445" s="30"/>
      <c r="E445" s="28"/>
      <c r="F445" s="29"/>
      <c r="G445" s="29"/>
      <c r="H445" s="29"/>
      <c r="I445" s="29"/>
      <c r="J445" s="29"/>
      <c r="K445" s="29"/>
      <c r="L445" s="29"/>
      <c r="M445" s="29"/>
      <c r="N445" s="30"/>
      <c r="O445" s="28"/>
      <c r="P445" s="29" t="s">
        <v>1881</v>
      </c>
      <c r="Q445" s="29"/>
      <c r="R445" s="29"/>
      <c r="S445" s="29"/>
      <c r="T445" s="29"/>
      <c r="U445" s="29"/>
      <c r="V445" s="29"/>
      <c r="W445" s="345"/>
      <c r="X445" s="345"/>
      <c r="Y445" s="345"/>
      <c r="Z445" s="345"/>
      <c r="AA445" s="345"/>
      <c r="AB445" s="29"/>
      <c r="AC445" s="30"/>
      <c r="AD445" s="31"/>
      <c r="AE445" s="31"/>
      <c r="AF445" s="31"/>
      <c r="AG445" s="31"/>
      <c r="AH445" s="31"/>
      <c r="AI445" s="32"/>
    </row>
    <row r="446" spans="1:35" x14ac:dyDescent="0.25">
      <c r="A446" s="27"/>
      <c r="B446" s="28"/>
      <c r="C446" s="29"/>
      <c r="D446" s="30"/>
      <c r="E446" s="28"/>
      <c r="F446" s="29"/>
      <c r="G446" s="29"/>
      <c r="H446" s="29"/>
      <c r="I446" s="29"/>
      <c r="J446" s="29"/>
      <c r="K446" s="29"/>
      <c r="L446" s="29"/>
      <c r="M446" s="29"/>
      <c r="N446" s="30"/>
      <c r="O446" s="28"/>
      <c r="P446" s="29"/>
      <c r="Q446" s="29"/>
      <c r="R446" s="29"/>
      <c r="S446" s="29" t="s">
        <v>17</v>
      </c>
      <c r="T446" s="57">
        <f>S442*S443</f>
        <v>2.8</v>
      </c>
      <c r="U446" s="57" t="s">
        <v>82</v>
      </c>
      <c r="V446" s="29"/>
      <c r="W446" s="345"/>
      <c r="X446" s="345"/>
      <c r="Y446" s="345"/>
      <c r="Z446" s="345"/>
      <c r="AA446" s="345"/>
      <c r="AB446" s="29"/>
      <c r="AC446" s="30"/>
      <c r="AD446" s="31"/>
      <c r="AE446" s="31"/>
      <c r="AF446" s="31"/>
      <c r="AG446" s="31"/>
      <c r="AH446" s="31"/>
      <c r="AI446" s="32"/>
    </row>
    <row r="447" spans="1:35" x14ac:dyDescent="0.25">
      <c r="A447" s="27"/>
      <c r="B447" s="28"/>
      <c r="C447" s="29"/>
      <c r="D447" s="30"/>
      <c r="E447" s="28"/>
      <c r="F447" s="29"/>
      <c r="G447" s="29"/>
      <c r="H447" s="29"/>
      <c r="I447" s="29"/>
      <c r="J447" s="29"/>
      <c r="K447" s="29"/>
      <c r="L447" s="29"/>
      <c r="M447" s="29"/>
      <c r="N447" s="30"/>
      <c r="O447" s="28"/>
      <c r="P447" s="345"/>
      <c r="Q447" s="345"/>
      <c r="R447" s="345"/>
      <c r="S447" s="345"/>
      <c r="T447" s="345"/>
      <c r="U447" s="345"/>
      <c r="V447" s="345"/>
      <c r="W447" s="345"/>
      <c r="X447" s="345"/>
      <c r="Y447" s="345"/>
      <c r="Z447" s="345"/>
      <c r="AA447" s="345"/>
      <c r="AB447" s="29"/>
      <c r="AC447" s="30"/>
      <c r="AD447" s="31"/>
      <c r="AE447" s="31"/>
      <c r="AF447" s="31"/>
      <c r="AG447" s="31"/>
      <c r="AH447" s="31"/>
      <c r="AI447" s="32"/>
    </row>
    <row r="448" spans="1:35" x14ac:dyDescent="0.25">
      <c r="A448" s="27"/>
      <c r="B448" s="28"/>
      <c r="C448" s="29"/>
      <c r="D448" s="30"/>
      <c r="E448" s="28"/>
      <c r="F448" s="29"/>
      <c r="G448" s="29"/>
      <c r="H448" s="29"/>
      <c r="I448" s="29"/>
      <c r="J448" s="29"/>
      <c r="K448" s="29"/>
      <c r="L448" s="29"/>
      <c r="M448" s="29"/>
      <c r="N448" s="30"/>
      <c r="O448" s="75" t="s">
        <v>352</v>
      </c>
      <c r="P448" s="64" t="s">
        <v>156</v>
      </c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30"/>
      <c r="AD448" s="31"/>
      <c r="AE448" s="31"/>
      <c r="AF448" s="37">
        <f>R450</f>
        <v>0.33599999999999997</v>
      </c>
      <c r="AG448" s="31"/>
      <c r="AH448" s="31"/>
      <c r="AI448" s="32"/>
    </row>
    <row r="449" spans="1:35" x14ac:dyDescent="0.25">
      <c r="A449" s="27"/>
      <c r="B449" s="28"/>
      <c r="C449" s="29"/>
      <c r="D449" s="30"/>
      <c r="E449" s="28"/>
      <c r="F449" s="29"/>
      <c r="G449" s="29"/>
      <c r="H449" s="29"/>
      <c r="I449" s="29"/>
      <c r="J449" s="29"/>
      <c r="K449" s="29"/>
      <c r="L449" s="29"/>
      <c r="M449" s="29"/>
      <c r="N449" s="30"/>
      <c r="O449" s="60"/>
      <c r="P449" s="29" t="s">
        <v>183</v>
      </c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30"/>
      <c r="AD449" s="31"/>
      <c r="AE449" s="31"/>
      <c r="AF449" s="31"/>
      <c r="AG449" s="31"/>
      <c r="AH449" s="31"/>
      <c r="AI449" s="32"/>
    </row>
    <row r="450" spans="1:35" x14ac:dyDescent="0.25">
      <c r="A450" s="27"/>
      <c r="B450" s="28"/>
      <c r="C450" s="29"/>
      <c r="D450" s="30"/>
      <c r="E450" s="28"/>
      <c r="F450" s="29"/>
      <c r="G450" s="29"/>
      <c r="H450" s="29"/>
      <c r="I450" s="29"/>
      <c r="J450" s="29"/>
      <c r="K450" s="29"/>
      <c r="L450" s="29"/>
      <c r="M450" s="29"/>
      <c r="N450" s="30"/>
      <c r="O450" s="28"/>
      <c r="P450" s="29"/>
      <c r="Q450" s="29" t="s">
        <v>29</v>
      </c>
      <c r="R450" s="66">
        <f>E422*I417*E429</f>
        <v>0.33599999999999997</v>
      </c>
      <c r="S450" s="29" t="s">
        <v>158</v>
      </c>
      <c r="T450" s="29"/>
      <c r="U450" s="29"/>
      <c r="V450" s="29"/>
      <c r="W450" s="29"/>
      <c r="X450" s="29"/>
      <c r="Y450" s="29"/>
      <c r="Z450" s="29"/>
      <c r="AA450" s="29"/>
      <c r="AB450" s="29"/>
      <c r="AC450" s="30"/>
      <c r="AD450" s="31"/>
      <c r="AE450" s="31"/>
      <c r="AF450" s="31"/>
      <c r="AG450" s="31"/>
      <c r="AH450" s="31"/>
      <c r="AI450" s="32"/>
    </row>
    <row r="451" spans="1:35" x14ac:dyDescent="0.25">
      <c r="A451" s="27"/>
      <c r="B451" s="28"/>
      <c r="C451" s="29"/>
      <c r="D451" s="30"/>
      <c r="E451" s="28"/>
      <c r="F451" s="29"/>
      <c r="G451" s="29"/>
      <c r="H451" s="29"/>
      <c r="I451" s="29"/>
      <c r="J451" s="29"/>
      <c r="K451" s="29"/>
      <c r="L451" s="29"/>
      <c r="M451" s="29"/>
      <c r="N451" s="30"/>
      <c r="O451" s="28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30"/>
      <c r="AD451" s="31"/>
      <c r="AE451" s="31"/>
      <c r="AF451" s="31"/>
      <c r="AG451" s="31"/>
      <c r="AH451" s="31"/>
      <c r="AI451" s="32"/>
    </row>
    <row r="452" spans="1:35" ht="15.75" thickBot="1" x14ac:dyDescent="0.3">
      <c r="A452" s="5"/>
      <c r="B452" s="17"/>
      <c r="C452" s="18"/>
      <c r="D452" s="19"/>
      <c r="E452" s="17"/>
      <c r="F452" s="18"/>
      <c r="G452" s="18"/>
      <c r="H452" s="18"/>
      <c r="I452" s="18"/>
      <c r="J452" s="18"/>
      <c r="K452" s="18"/>
      <c r="L452" s="18"/>
      <c r="M452" s="18"/>
      <c r="N452" s="19"/>
      <c r="O452" s="17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9"/>
      <c r="AD452" s="6"/>
      <c r="AE452" s="6"/>
      <c r="AF452" s="6"/>
      <c r="AG452" s="6"/>
      <c r="AH452" s="6"/>
      <c r="AI452" s="7"/>
    </row>
    <row r="453" spans="1:35" ht="15.75" thickTop="1" x14ac:dyDescent="0.25">
      <c r="A453" s="597"/>
      <c r="B453" s="272"/>
      <c r="C453" s="598"/>
      <c r="D453" s="273"/>
      <c r="E453" s="272"/>
      <c r="F453" s="598"/>
      <c r="G453" s="598"/>
      <c r="H453" s="598"/>
      <c r="I453" s="598"/>
      <c r="J453" s="598"/>
      <c r="K453" s="598"/>
      <c r="L453" s="598"/>
      <c r="M453" s="598"/>
      <c r="N453" s="273"/>
      <c r="O453" s="272"/>
      <c r="P453" s="598"/>
      <c r="Q453" s="598"/>
      <c r="R453" s="598"/>
      <c r="S453" s="598"/>
      <c r="T453" s="598"/>
      <c r="U453" s="598"/>
      <c r="V453" s="598"/>
      <c r="W453" s="598"/>
      <c r="X453" s="598"/>
      <c r="Y453" s="598"/>
      <c r="Z453" s="598"/>
      <c r="AA453" s="598"/>
      <c r="AB453" s="598"/>
      <c r="AC453" s="273"/>
      <c r="AD453" s="274"/>
      <c r="AE453" s="274"/>
      <c r="AF453" s="274"/>
      <c r="AG453" s="274"/>
      <c r="AH453" s="274"/>
      <c r="AI453" s="599"/>
    </row>
    <row r="454" spans="1:35" x14ac:dyDescent="0.25">
      <c r="A454" s="346" t="s">
        <v>187</v>
      </c>
      <c r="B454" s="347" t="s">
        <v>188</v>
      </c>
      <c r="C454" s="57"/>
      <c r="D454" s="348"/>
      <c r="E454" s="349"/>
      <c r="F454" s="29"/>
      <c r="G454" s="29"/>
      <c r="H454" s="29"/>
      <c r="I454" s="29"/>
      <c r="J454" s="29"/>
      <c r="K454" s="29"/>
      <c r="L454" s="29"/>
      <c r="M454" s="29"/>
      <c r="N454" s="30"/>
      <c r="O454" s="28"/>
      <c r="P454" s="64" t="s">
        <v>189</v>
      </c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30"/>
      <c r="AD454" s="31"/>
      <c r="AE454" s="37">
        <f>S460</f>
        <v>97.680097680097688</v>
      </c>
      <c r="AF454" s="31"/>
      <c r="AG454" s="31"/>
      <c r="AH454" s="31"/>
      <c r="AI454" s="32"/>
    </row>
    <row r="455" spans="1:35" x14ac:dyDescent="0.25">
      <c r="A455" s="27"/>
      <c r="B455" s="28"/>
      <c r="C455" s="29"/>
      <c r="D455" s="30"/>
      <c r="E455" s="28"/>
      <c r="F455" s="29"/>
      <c r="G455" s="29"/>
      <c r="H455" s="29"/>
      <c r="I455" s="29"/>
      <c r="J455" s="55">
        <v>8</v>
      </c>
      <c r="K455" s="29"/>
      <c r="L455" s="29"/>
      <c r="M455" s="29"/>
      <c r="N455" s="30"/>
      <c r="O455" s="28"/>
      <c r="P455" s="29" t="s">
        <v>21</v>
      </c>
      <c r="Q455" s="29"/>
      <c r="R455" s="29"/>
      <c r="S455" s="29">
        <f>J455</f>
        <v>8</v>
      </c>
      <c r="T455" s="29"/>
      <c r="U455" s="29"/>
      <c r="V455" s="29"/>
      <c r="W455" s="29"/>
      <c r="X455" s="29"/>
      <c r="Y455" s="29"/>
      <c r="Z455" s="29"/>
      <c r="AA455" s="29"/>
      <c r="AB455" s="29"/>
      <c r="AC455" s="30"/>
      <c r="AD455" s="31"/>
      <c r="AE455" s="78"/>
      <c r="AF455" s="31"/>
      <c r="AG455" s="31"/>
      <c r="AH455" s="31"/>
      <c r="AI455" s="32"/>
    </row>
    <row r="456" spans="1:35" x14ac:dyDescent="0.25">
      <c r="A456" s="27"/>
      <c r="B456" s="28"/>
      <c r="C456" s="29"/>
      <c r="D456" s="30"/>
      <c r="E456" s="28"/>
      <c r="F456" s="29"/>
      <c r="G456" s="29"/>
      <c r="H456" s="29"/>
      <c r="I456" s="29"/>
      <c r="J456" s="29"/>
      <c r="K456" s="29"/>
      <c r="L456" s="29"/>
      <c r="M456" s="29"/>
      <c r="N456" s="30"/>
      <c r="O456" s="28"/>
      <c r="P456" s="29" t="s">
        <v>22</v>
      </c>
      <c r="Q456" s="29"/>
      <c r="R456" s="29"/>
      <c r="S456" s="29">
        <f>E463</f>
        <v>10</v>
      </c>
      <c r="T456" s="29"/>
      <c r="U456" s="29"/>
      <c r="V456" s="29"/>
      <c r="W456" s="29"/>
      <c r="X456" s="29"/>
      <c r="Y456" s="29"/>
      <c r="Z456" s="29"/>
      <c r="AA456" s="29"/>
      <c r="AB456" s="29"/>
      <c r="AC456" s="30"/>
      <c r="AD456" s="31"/>
      <c r="AE456" s="78"/>
      <c r="AF456" s="31"/>
      <c r="AG456" s="31"/>
      <c r="AH456" s="31"/>
      <c r="AI456" s="32"/>
    </row>
    <row r="457" spans="1:35" ht="17.25" x14ac:dyDescent="0.25">
      <c r="A457" s="27"/>
      <c r="B457" s="28"/>
      <c r="C457" s="29"/>
      <c r="D457" s="30"/>
      <c r="E457" s="28"/>
      <c r="F457" s="29"/>
      <c r="G457" s="29"/>
      <c r="H457" s="29"/>
      <c r="I457" s="29"/>
      <c r="J457" s="29"/>
      <c r="K457" s="29"/>
      <c r="L457" s="29"/>
      <c r="M457" s="29"/>
      <c r="N457" s="30"/>
      <c r="O457" s="28"/>
      <c r="P457" s="29" t="s">
        <v>190</v>
      </c>
      <c r="Q457" s="29"/>
      <c r="R457" s="29"/>
      <c r="S457" s="29">
        <v>35</v>
      </c>
      <c r="T457" s="76" t="s">
        <v>192</v>
      </c>
      <c r="U457" s="29"/>
      <c r="V457" s="29"/>
      <c r="W457" s="29"/>
      <c r="X457" s="29"/>
      <c r="Y457" s="29"/>
      <c r="Z457" s="29"/>
      <c r="AA457" s="29"/>
      <c r="AB457" s="29"/>
      <c r="AC457" s="30"/>
      <c r="AD457" s="31"/>
      <c r="AE457" s="78"/>
      <c r="AF457" s="31"/>
      <c r="AG457" s="31"/>
      <c r="AH457" s="31"/>
      <c r="AI457" s="32"/>
    </row>
    <row r="458" spans="1:35" x14ac:dyDescent="0.25">
      <c r="A458" s="27"/>
      <c r="B458" s="28"/>
      <c r="C458" s="29"/>
      <c r="D458" s="30"/>
      <c r="E458" s="28"/>
      <c r="F458" s="29"/>
      <c r="G458" s="29"/>
      <c r="H458" s="29"/>
      <c r="I458" s="29"/>
      <c r="J458" s="29"/>
      <c r="K458" s="29"/>
      <c r="L458" s="29"/>
      <c r="M458" s="29"/>
      <c r="N458" s="30"/>
      <c r="O458" s="28"/>
      <c r="P458" s="29" t="s">
        <v>191</v>
      </c>
      <c r="Q458" s="29">
        <f>S457</f>
        <v>35</v>
      </c>
      <c r="R458" s="29"/>
      <c r="S458" s="58">
        <v>0.81899999999999995</v>
      </c>
      <c r="T458" s="29"/>
      <c r="U458" s="29"/>
      <c r="V458" s="29"/>
      <c r="W458" s="29"/>
      <c r="X458" s="29"/>
      <c r="Y458" s="29"/>
      <c r="Z458" s="29"/>
      <c r="AA458" s="29"/>
      <c r="AB458" s="29"/>
      <c r="AC458" s="30"/>
      <c r="AD458" s="31"/>
      <c r="AE458" s="78"/>
      <c r="AF458" s="31"/>
      <c r="AG458" s="31"/>
      <c r="AH458" s="31"/>
      <c r="AI458" s="32"/>
    </row>
    <row r="459" spans="1:35" x14ac:dyDescent="0.25">
      <c r="A459" s="27"/>
      <c r="B459" s="28"/>
      <c r="C459" s="29"/>
      <c r="D459" s="30"/>
      <c r="E459" s="28"/>
      <c r="F459" s="29"/>
      <c r="G459" s="29"/>
      <c r="H459" s="29"/>
      <c r="I459" s="29"/>
      <c r="J459" s="29"/>
      <c r="K459" s="29"/>
      <c r="L459" s="29"/>
      <c r="M459" s="29"/>
      <c r="N459" s="30"/>
      <c r="O459" s="28"/>
      <c r="P459" s="29" t="s">
        <v>193</v>
      </c>
      <c r="Q459" s="29"/>
      <c r="R459" s="29"/>
      <c r="S459" s="29">
        <f>S455</f>
        <v>8</v>
      </c>
      <c r="T459" s="38" t="s">
        <v>194</v>
      </c>
      <c r="U459" s="29">
        <f>S456</f>
        <v>10</v>
      </c>
      <c r="V459" s="38" t="s">
        <v>186</v>
      </c>
      <c r="W459" s="29">
        <f>S458</f>
        <v>0.81899999999999995</v>
      </c>
      <c r="X459" s="29"/>
      <c r="Y459" s="29"/>
      <c r="Z459" s="29"/>
      <c r="AA459" s="29"/>
      <c r="AB459" s="29"/>
      <c r="AC459" s="30"/>
      <c r="AD459" s="31"/>
      <c r="AE459" s="78"/>
      <c r="AF459" s="31"/>
      <c r="AG459" s="31"/>
      <c r="AH459" s="31"/>
      <c r="AI459" s="32"/>
    </row>
    <row r="460" spans="1:35" x14ac:dyDescent="0.25">
      <c r="A460" s="27"/>
      <c r="B460" s="28"/>
      <c r="C460" s="29"/>
      <c r="D460" s="30"/>
      <c r="E460" s="28"/>
      <c r="F460" s="29"/>
      <c r="G460" s="29"/>
      <c r="H460" s="29"/>
      <c r="I460" s="29"/>
      <c r="J460" s="29"/>
      <c r="K460" s="29"/>
      <c r="L460" s="29"/>
      <c r="M460" s="29"/>
      <c r="N460" s="30"/>
      <c r="O460" s="28"/>
      <c r="P460" s="29"/>
      <c r="Q460" s="29"/>
      <c r="R460" s="43" t="s">
        <v>29</v>
      </c>
      <c r="S460" s="57">
        <f>S459*U459/W459</f>
        <v>97.680097680097688</v>
      </c>
      <c r="T460" s="29" t="s">
        <v>82</v>
      </c>
      <c r="U460" s="29"/>
      <c r="V460" s="29"/>
      <c r="W460" s="29"/>
      <c r="X460" s="29"/>
      <c r="Y460" s="29"/>
      <c r="Z460" s="29"/>
      <c r="AA460" s="29"/>
      <c r="AB460" s="29"/>
      <c r="AC460" s="30"/>
      <c r="AD460" s="31"/>
      <c r="AE460" s="78"/>
      <c r="AF460" s="31"/>
      <c r="AG460" s="31"/>
      <c r="AH460" s="31"/>
      <c r="AI460" s="32"/>
    </row>
    <row r="461" spans="1:35" x14ac:dyDescent="0.25">
      <c r="A461" s="27"/>
      <c r="B461" s="28"/>
      <c r="C461" s="29"/>
      <c r="D461" s="30"/>
      <c r="E461" s="28"/>
      <c r="F461" s="29"/>
      <c r="G461" s="29"/>
      <c r="H461" s="29"/>
      <c r="I461" s="29"/>
      <c r="J461" s="29"/>
      <c r="K461" s="29"/>
      <c r="L461" s="29"/>
      <c r="M461" s="29"/>
      <c r="N461" s="30"/>
      <c r="O461" s="28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30"/>
      <c r="AD461" s="31"/>
      <c r="AE461" s="78"/>
      <c r="AF461" s="31"/>
      <c r="AG461" s="31"/>
      <c r="AH461" s="31"/>
      <c r="AI461" s="32"/>
    </row>
    <row r="462" spans="1:35" x14ac:dyDescent="0.25">
      <c r="A462" s="27"/>
      <c r="B462" s="28"/>
      <c r="C462" s="29"/>
      <c r="D462" s="30"/>
      <c r="E462" s="28"/>
      <c r="F462" s="29"/>
      <c r="G462" s="29"/>
      <c r="H462" s="29"/>
      <c r="I462" s="29"/>
      <c r="J462" s="29"/>
      <c r="K462" s="29"/>
      <c r="L462" s="29"/>
      <c r="M462" s="29"/>
      <c r="N462" s="30"/>
      <c r="O462" s="28"/>
      <c r="P462" s="64" t="s">
        <v>195</v>
      </c>
      <c r="Q462" s="29"/>
      <c r="R462" s="29"/>
      <c r="S462" s="57">
        <f>S460</f>
        <v>97.680097680097688</v>
      </c>
      <c r="T462" s="29" t="s">
        <v>82</v>
      </c>
      <c r="U462" s="29"/>
      <c r="V462" s="29"/>
      <c r="W462" s="29"/>
      <c r="X462" s="29"/>
      <c r="Y462" s="29"/>
      <c r="Z462" s="29"/>
      <c r="AA462" s="29"/>
      <c r="AB462" s="29"/>
      <c r="AC462" s="30"/>
      <c r="AD462" s="31"/>
      <c r="AE462" s="37">
        <f>S462</f>
        <v>97.680097680097688</v>
      </c>
      <c r="AF462" s="31"/>
      <c r="AG462" s="31"/>
      <c r="AH462" s="31"/>
      <c r="AI462" s="32"/>
    </row>
    <row r="463" spans="1:35" x14ac:dyDescent="0.25">
      <c r="A463" s="27"/>
      <c r="B463" s="28"/>
      <c r="C463" s="29"/>
      <c r="D463" s="30"/>
      <c r="E463" s="54">
        <v>10</v>
      </c>
      <c r="F463" s="29"/>
      <c r="G463" s="29"/>
      <c r="H463" s="29"/>
      <c r="I463" s="29"/>
      <c r="J463" s="29"/>
      <c r="K463" s="29"/>
      <c r="L463" s="29"/>
      <c r="M463" s="29"/>
      <c r="N463" s="30"/>
      <c r="O463" s="28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30"/>
      <c r="AD463" s="31"/>
      <c r="AE463" s="78"/>
      <c r="AF463" s="31"/>
      <c r="AG463" s="31"/>
      <c r="AH463" s="31"/>
      <c r="AI463" s="32"/>
    </row>
    <row r="464" spans="1:35" x14ac:dyDescent="0.25">
      <c r="A464" s="27"/>
      <c r="B464" s="28"/>
      <c r="C464" s="29"/>
      <c r="D464" s="30"/>
      <c r="E464" s="28"/>
      <c r="F464" s="29"/>
      <c r="G464" s="29"/>
      <c r="H464" s="29"/>
      <c r="I464" s="29"/>
      <c r="J464" s="29"/>
      <c r="K464" s="29"/>
      <c r="L464" s="29"/>
      <c r="M464" s="29"/>
      <c r="N464" s="30"/>
      <c r="O464" s="28"/>
      <c r="P464" s="64" t="s">
        <v>196</v>
      </c>
      <c r="Q464" s="29"/>
      <c r="R464" s="29"/>
      <c r="S464" s="57">
        <f>E463</f>
        <v>10</v>
      </c>
      <c r="T464" s="29" t="s">
        <v>127</v>
      </c>
      <c r="U464" s="29"/>
      <c r="V464" s="29"/>
      <c r="W464" s="29"/>
      <c r="X464" s="29"/>
      <c r="Y464" s="29"/>
      <c r="Z464" s="29"/>
      <c r="AA464" s="29"/>
      <c r="AB464" s="29"/>
      <c r="AC464" s="30"/>
      <c r="AD464" s="31"/>
      <c r="AE464" s="37">
        <f>S464</f>
        <v>10</v>
      </c>
      <c r="AF464" s="31"/>
      <c r="AG464" s="31"/>
      <c r="AH464" s="31"/>
      <c r="AI464" s="32"/>
    </row>
    <row r="465" spans="1:35" x14ac:dyDescent="0.25">
      <c r="A465" s="27"/>
      <c r="B465" s="28"/>
      <c r="C465" s="29"/>
      <c r="D465" s="30"/>
      <c r="E465" s="28"/>
      <c r="F465" s="29"/>
      <c r="G465" s="29"/>
      <c r="H465" s="29"/>
      <c r="I465" s="29"/>
      <c r="J465" s="29"/>
      <c r="K465" s="29"/>
      <c r="L465" s="29"/>
      <c r="M465" s="29"/>
      <c r="N465" s="30"/>
      <c r="O465" s="28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30"/>
      <c r="AD465" s="31"/>
      <c r="AE465" s="78"/>
      <c r="AF465" s="31"/>
      <c r="AG465" s="31"/>
      <c r="AH465" s="31"/>
      <c r="AI465" s="32"/>
    </row>
    <row r="466" spans="1:35" x14ac:dyDescent="0.25">
      <c r="A466" s="27"/>
      <c r="B466" s="28"/>
      <c r="C466" s="29"/>
      <c r="D466" s="30"/>
      <c r="E466" s="28"/>
      <c r="F466" s="29"/>
      <c r="G466" s="29"/>
      <c r="H466" s="29"/>
      <c r="I466" s="29"/>
      <c r="J466" s="29"/>
      <c r="K466" s="29"/>
      <c r="L466" s="29"/>
      <c r="M466" s="29"/>
      <c r="N466" s="30"/>
      <c r="O466" s="28"/>
      <c r="P466" s="64" t="s">
        <v>197</v>
      </c>
      <c r="Q466" s="29"/>
      <c r="R466" s="29"/>
      <c r="S466" s="57">
        <f>(E463*2)+((J455/S458)*2)</f>
        <v>39.536019536019538</v>
      </c>
      <c r="T466" s="29" t="s">
        <v>127</v>
      </c>
      <c r="U466" s="29"/>
      <c r="V466" s="29"/>
      <c r="W466" s="29"/>
      <c r="X466" s="29"/>
      <c r="Y466" s="29"/>
      <c r="Z466" s="29"/>
      <c r="AA466" s="29"/>
      <c r="AB466" s="29"/>
      <c r="AC466" s="30"/>
      <c r="AD466" s="39">
        <f>S466</f>
        <v>39.536019536019538</v>
      </c>
      <c r="AE466" s="78"/>
      <c r="AF466" s="31"/>
      <c r="AG466" s="31"/>
      <c r="AH466" s="31"/>
      <c r="AI466" s="32"/>
    </row>
    <row r="467" spans="1:35" x14ac:dyDescent="0.25">
      <c r="A467" s="27"/>
      <c r="B467" s="28"/>
      <c r="C467" s="29"/>
      <c r="D467" s="30"/>
      <c r="E467" s="28"/>
      <c r="F467" s="29"/>
      <c r="G467" s="29"/>
      <c r="H467" s="29"/>
      <c r="I467" s="29"/>
      <c r="J467" s="29"/>
      <c r="K467" s="29"/>
      <c r="L467" s="29"/>
      <c r="M467" s="29"/>
      <c r="N467" s="30"/>
      <c r="O467" s="28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30"/>
      <c r="AD467" s="31"/>
      <c r="AE467" s="78"/>
      <c r="AF467" s="31"/>
      <c r="AG467" s="31"/>
      <c r="AH467" s="31"/>
      <c r="AI467" s="32"/>
    </row>
    <row r="468" spans="1:35" x14ac:dyDescent="0.25">
      <c r="A468" s="27"/>
      <c r="B468" s="28"/>
      <c r="C468" s="29"/>
      <c r="D468" s="30"/>
      <c r="E468" s="28"/>
      <c r="F468" s="29"/>
      <c r="G468" s="29"/>
      <c r="H468" s="29"/>
      <c r="I468" s="29"/>
      <c r="J468" s="29"/>
      <c r="K468" s="29"/>
      <c r="L468" s="29"/>
      <c r="M468" s="29"/>
      <c r="N468" s="30"/>
      <c r="O468" s="28"/>
      <c r="P468" s="64" t="s">
        <v>198</v>
      </c>
      <c r="Q468" s="29"/>
      <c r="R468" s="29"/>
      <c r="S468" s="57">
        <f>E463*2</f>
        <v>20</v>
      </c>
      <c r="T468" s="29" t="s">
        <v>127</v>
      </c>
      <c r="U468" s="29"/>
      <c r="V468" s="29"/>
      <c r="W468" s="29"/>
      <c r="X468" s="29"/>
      <c r="Y468" s="29"/>
      <c r="Z468" s="29"/>
      <c r="AA468" s="29"/>
      <c r="AB468" s="29"/>
      <c r="AC468" s="30"/>
      <c r="AD468" s="31"/>
      <c r="AE468" s="37">
        <f>S468</f>
        <v>20</v>
      </c>
      <c r="AF468" s="31"/>
      <c r="AG468" s="31"/>
      <c r="AH468" s="31"/>
      <c r="AI468" s="32"/>
    </row>
    <row r="469" spans="1:35" x14ac:dyDescent="0.25">
      <c r="A469" s="27"/>
      <c r="B469" s="28"/>
      <c r="C469" s="29"/>
      <c r="D469" s="30"/>
      <c r="E469" s="28"/>
      <c r="F469" s="29"/>
      <c r="G469" s="29"/>
      <c r="H469" s="29"/>
      <c r="I469" s="29"/>
      <c r="J469" s="29"/>
      <c r="K469" s="29"/>
      <c r="L469" s="29"/>
      <c r="M469" s="29"/>
      <c r="N469" s="30"/>
      <c r="O469" s="28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30"/>
      <c r="AD469" s="31"/>
      <c r="AE469" s="31"/>
      <c r="AF469" s="31"/>
      <c r="AG469" s="31"/>
      <c r="AH469" s="31"/>
      <c r="AI469" s="32"/>
    </row>
    <row r="470" spans="1:35" x14ac:dyDescent="0.25">
      <c r="A470" s="27"/>
      <c r="B470" s="28"/>
      <c r="C470" s="29"/>
      <c r="D470" s="30"/>
      <c r="E470" s="28"/>
      <c r="F470" s="29"/>
      <c r="G470" s="29"/>
      <c r="H470" s="29"/>
      <c r="I470" s="29"/>
      <c r="J470" s="29"/>
      <c r="K470" s="29"/>
      <c r="L470" s="29"/>
      <c r="M470" s="29"/>
      <c r="N470" s="30"/>
      <c r="O470" s="28"/>
      <c r="P470" s="64" t="s">
        <v>1895</v>
      </c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30"/>
      <c r="AD470" s="31"/>
      <c r="AE470" s="39">
        <f>Q473</f>
        <v>80</v>
      </c>
      <c r="AF470" s="31"/>
      <c r="AG470" s="31"/>
      <c r="AH470" s="31"/>
      <c r="AI470" s="32"/>
    </row>
    <row r="471" spans="1:35" x14ac:dyDescent="0.25">
      <c r="A471" s="27"/>
      <c r="B471" s="28"/>
      <c r="C471" s="29"/>
      <c r="D471" s="30"/>
      <c r="E471" s="28"/>
      <c r="F471" s="29"/>
      <c r="G471" s="29"/>
      <c r="H471" s="29"/>
      <c r="I471" s="29"/>
      <c r="J471" s="29"/>
      <c r="K471" s="29"/>
      <c r="L471" s="29"/>
      <c r="M471" s="29"/>
      <c r="N471" s="30"/>
      <c r="O471" s="28"/>
      <c r="P471" s="29" t="s">
        <v>17</v>
      </c>
      <c r="Q471" s="29" t="s">
        <v>199</v>
      </c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30"/>
      <c r="AD471" s="31"/>
      <c r="AE471" s="31"/>
      <c r="AF471" s="31"/>
      <c r="AG471" s="31"/>
      <c r="AH471" s="31"/>
      <c r="AI471" s="32"/>
    </row>
    <row r="472" spans="1:35" x14ac:dyDescent="0.25">
      <c r="A472" s="27"/>
      <c r="B472" s="28"/>
      <c r="C472" s="29"/>
      <c r="D472" s="30"/>
      <c r="E472" s="28"/>
      <c r="F472" s="29"/>
      <c r="G472" s="29"/>
      <c r="H472" s="29"/>
      <c r="I472" s="29"/>
      <c r="J472" s="29"/>
      <c r="K472" s="29"/>
      <c r="L472" s="29"/>
      <c r="M472" s="29"/>
      <c r="N472" s="30"/>
      <c r="O472" s="28"/>
      <c r="P472" s="29" t="s">
        <v>17</v>
      </c>
      <c r="Q472" s="29">
        <f>J455</f>
        <v>8</v>
      </c>
      <c r="R472" s="38" t="s">
        <v>200</v>
      </c>
      <c r="S472" s="29">
        <f>E463</f>
        <v>10</v>
      </c>
      <c r="T472" s="29"/>
      <c r="U472" s="29"/>
      <c r="V472" s="29"/>
      <c r="W472" s="29"/>
      <c r="X472" s="29"/>
      <c r="Y472" s="29"/>
      <c r="Z472" s="29"/>
      <c r="AA472" s="29"/>
      <c r="AB472" s="29"/>
      <c r="AC472" s="30"/>
      <c r="AD472" s="31"/>
      <c r="AE472" s="31"/>
      <c r="AF472" s="31"/>
      <c r="AG472" s="31"/>
      <c r="AH472" s="31"/>
      <c r="AI472" s="32"/>
    </row>
    <row r="473" spans="1:35" x14ac:dyDescent="0.25">
      <c r="A473" s="27"/>
      <c r="B473" s="28"/>
      <c r="C473" s="29"/>
      <c r="D473" s="30"/>
      <c r="E473" s="28"/>
      <c r="F473" s="29"/>
      <c r="G473" s="29"/>
      <c r="H473" s="29"/>
      <c r="I473" s="29"/>
      <c r="J473" s="29"/>
      <c r="K473" s="29"/>
      <c r="L473" s="29"/>
      <c r="M473" s="29"/>
      <c r="N473" s="30"/>
      <c r="O473" s="28"/>
      <c r="P473" s="29" t="s">
        <v>17</v>
      </c>
      <c r="Q473" s="57">
        <f>Q472*S472</f>
        <v>80</v>
      </c>
      <c r="R473" s="29" t="s">
        <v>82</v>
      </c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30"/>
      <c r="AD473" s="31"/>
      <c r="AE473" s="31"/>
      <c r="AF473" s="31"/>
      <c r="AG473" s="31"/>
      <c r="AH473" s="31"/>
      <c r="AI473" s="32"/>
    </row>
    <row r="474" spans="1:35" x14ac:dyDescent="0.25">
      <c r="A474" s="27"/>
      <c r="B474" s="28"/>
      <c r="C474" s="29"/>
      <c r="D474" s="30"/>
      <c r="E474" s="28"/>
      <c r="F474" s="29"/>
      <c r="G474" s="29"/>
      <c r="H474" s="29"/>
      <c r="I474" s="29"/>
      <c r="J474" s="29"/>
      <c r="K474" s="29"/>
      <c r="L474" s="29"/>
      <c r="M474" s="29"/>
      <c r="N474" s="30"/>
      <c r="O474" s="28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30"/>
      <c r="AD474" s="31"/>
      <c r="AE474" s="31"/>
      <c r="AF474" s="31"/>
      <c r="AG474" s="31"/>
      <c r="AH474" s="31"/>
      <c r="AI474" s="32"/>
    </row>
    <row r="475" spans="1:35" x14ac:dyDescent="0.25">
      <c r="A475" s="27"/>
      <c r="B475" s="28"/>
      <c r="C475" s="29"/>
      <c r="D475" s="30"/>
      <c r="E475" s="28"/>
      <c r="F475" s="29"/>
      <c r="G475" s="29"/>
      <c r="H475" s="29"/>
      <c r="I475" s="29"/>
      <c r="J475" s="29"/>
      <c r="K475" s="29"/>
      <c r="L475" s="29"/>
      <c r="M475" s="29"/>
      <c r="N475" s="30"/>
      <c r="O475" s="28"/>
      <c r="P475" s="64" t="s">
        <v>201</v>
      </c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30"/>
      <c r="AD475" s="31"/>
      <c r="AE475" s="39">
        <f>Q476</f>
        <v>80</v>
      </c>
      <c r="AF475" s="31"/>
      <c r="AG475" s="31"/>
      <c r="AH475" s="31"/>
      <c r="AI475" s="32"/>
    </row>
    <row r="476" spans="1:35" x14ac:dyDescent="0.25">
      <c r="A476" s="27"/>
      <c r="B476" s="28"/>
      <c r="C476" s="29"/>
      <c r="D476" s="30"/>
      <c r="E476" s="28"/>
      <c r="F476" s="29"/>
      <c r="G476" s="29"/>
      <c r="H476" s="29"/>
      <c r="I476" s="29"/>
      <c r="J476" s="29"/>
      <c r="K476" s="29"/>
      <c r="L476" s="29"/>
      <c r="M476" s="29"/>
      <c r="N476" s="30"/>
      <c r="O476" s="28"/>
      <c r="P476" s="29" t="s">
        <v>29</v>
      </c>
      <c r="Q476" s="57">
        <f>Q473</f>
        <v>80</v>
      </c>
      <c r="R476" s="29" t="s">
        <v>82</v>
      </c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30"/>
      <c r="AD476" s="31"/>
      <c r="AE476" s="31"/>
      <c r="AF476" s="31"/>
      <c r="AG476" s="31"/>
      <c r="AH476" s="31"/>
      <c r="AI476" s="32"/>
    </row>
    <row r="477" spans="1:35" x14ac:dyDescent="0.25">
      <c r="A477" s="27"/>
      <c r="B477" s="28"/>
      <c r="C477" s="29"/>
      <c r="D477" s="30"/>
      <c r="E477" s="28"/>
      <c r="F477" s="29"/>
      <c r="G477" s="29"/>
      <c r="H477" s="29"/>
      <c r="I477" s="29"/>
      <c r="J477" s="29"/>
      <c r="K477" s="29"/>
      <c r="L477" s="29"/>
      <c r="M477" s="29"/>
      <c r="N477" s="30"/>
      <c r="O477" s="28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30"/>
      <c r="AD477" s="31"/>
      <c r="AE477" s="31"/>
      <c r="AF477" s="31"/>
      <c r="AG477" s="31"/>
      <c r="AH477" s="31"/>
      <c r="AI477" s="32"/>
    </row>
    <row r="478" spans="1:35" x14ac:dyDescent="0.25">
      <c r="A478" s="27"/>
      <c r="B478" s="28"/>
      <c r="C478" s="29"/>
      <c r="D478" s="30"/>
      <c r="E478" s="28"/>
      <c r="F478" s="29"/>
      <c r="G478" s="29"/>
      <c r="H478" s="29"/>
      <c r="I478" s="29"/>
      <c r="J478" s="29"/>
      <c r="K478" s="29"/>
      <c r="L478" s="29"/>
      <c r="M478" s="29"/>
      <c r="N478" s="30"/>
      <c r="O478" s="28"/>
      <c r="P478" s="29" t="s">
        <v>202</v>
      </c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30"/>
      <c r="AD478" s="31"/>
      <c r="AE478" s="39">
        <f>Q480</f>
        <v>36</v>
      </c>
      <c r="AF478" s="31"/>
      <c r="AG478" s="31"/>
      <c r="AH478" s="31"/>
      <c r="AI478" s="32"/>
    </row>
    <row r="479" spans="1:35" x14ac:dyDescent="0.25">
      <c r="A479" s="27"/>
      <c r="B479" s="28"/>
      <c r="C479" s="29"/>
      <c r="D479" s="30"/>
      <c r="E479" s="28"/>
      <c r="F479" s="29"/>
      <c r="G479" s="29"/>
      <c r="H479" s="29"/>
      <c r="I479" s="29"/>
      <c r="J479" s="29"/>
      <c r="K479" s="29"/>
      <c r="L479" s="29"/>
      <c r="M479" s="29"/>
      <c r="N479" s="30"/>
      <c r="O479" s="28"/>
      <c r="P479" s="29" t="s">
        <v>29</v>
      </c>
      <c r="Q479" s="29" t="s">
        <v>203</v>
      </c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30"/>
      <c r="AD479" s="31"/>
      <c r="AE479" s="31"/>
      <c r="AF479" s="31"/>
      <c r="AG479" s="31"/>
      <c r="AH479" s="31"/>
      <c r="AI479" s="32"/>
    </row>
    <row r="480" spans="1:35" ht="15.75" thickBot="1" x14ac:dyDescent="0.3">
      <c r="A480" s="5"/>
      <c r="B480" s="17"/>
      <c r="C480" s="18"/>
      <c r="D480" s="19"/>
      <c r="E480" s="17"/>
      <c r="F480" s="18"/>
      <c r="G480" s="18"/>
      <c r="H480" s="18"/>
      <c r="I480" s="18"/>
      <c r="J480" s="18"/>
      <c r="K480" s="18"/>
      <c r="L480" s="18"/>
      <c r="M480" s="18"/>
      <c r="N480" s="19"/>
      <c r="O480" s="17"/>
      <c r="P480" s="18" t="s">
        <v>17</v>
      </c>
      <c r="Q480" s="602">
        <f>(S455+S456)*2</f>
        <v>36</v>
      </c>
      <c r="R480" s="18" t="s">
        <v>127</v>
      </c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9"/>
      <c r="AD480" s="6"/>
      <c r="AE480" s="6"/>
      <c r="AF480" s="6"/>
      <c r="AG480" s="6"/>
      <c r="AH480" s="6"/>
      <c r="AI480" s="7"/>
    </row>
    <row r="481" spans="1:35" ht="15.75" thickTop="1" x14ac:dyDescent="0.25">
      <c r="A481" s="597"/>
      <c r="B481" s="272"/>
      <c r="C481" s="598"/>
      <c r="D481" s="273"/>
      <c r="E481" s="272"/>
      <c r="F481" s="598"/>
      <c r="G481" s="598"/>
      <c r="H481" s="598"/>
      <c r="I481" s="598"/>
      <c r="J481" s="598"/>
      <c r="K481" s="598"/>
      <c r="L481" s="598"/>
      <c r="M481" s="598"/>
      <c r="N481" s="273"/>
      <c r="O481" s="272"/>
      <c r="P481" s="598"/>
      <c r="Q481" s="598"/>
      <c r="R481" s="598"/>
      <c r="S481" s="598"/>
      <c r="T481" s="598"/>
      <c r="U481" s="598"/>
      <c r="V481" s="598"/>
      <c r="W481" s="598"/>
      <c r="X481" s="598"/>
      <c r="Y481" s="598"/>
      <c r="Z481" s="598"/>
      <c r="AA481" s="598"/>
      <c r="AB481" s="598"/>
      <c r="AC481" s="273"/>
      <c r="AD481" s="274"/>
      <c r="AE481" s="274"/>
      <c r="AF481" s="274"/>
      <c r="AG481" s="274"/>
      <c r="AH481" s="274"/>
      <c r="AI481" s="599"/>
    </row>
    <row r="482" spans="1:35" x14ac:dyDescent="0.25">
      <c r="A482" s="41" t="s">
        <v>204</v>
      </c>
      <c r="B482" s="42" t="s">
        <v>205</v>
      </c>
      <c r="C482" s="29"/>
      <c r="D482" s="30"/>
      <c r="E482" s="28"/>
      <c r="F482" s="29"/>
      <c r="G482" s="29"/>
      <c r="H482" s="29"/>
      <c r="I482" s="29"/>
      <c r="J482" s="29"/>
      <c r="K482" s="29"/>
      <c r="L482" s="29"/>
      <c r="M482" s="29"/>
      <c r="N482" s="30"/>
      <c r="O482" s="28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30"/>
      <c r="AD482" s="31"/>
      <c r="AE482" s="31"/>
      <c r="AF482" s="37">
        <f>S490+S510+S529+S542+S558+S568+S580</f>
        <v>0.35040000000000004</v>
      </c>
      <c r="AG482" s="31"/>
      <c r="AH482" s="31"/>
      <c r="AI482" s="32"/>
    </row>
    <row r="483" spans="1:35" x14ac:dyDescent="0.25">
      <c r="A483" s="27"/>
      <c r="B483" s="28"/>
      <c r="C483" s="29"/>
      <c r="D483" s="30"/>
      <c r="E483" s="28"/>
      <c r="F483" s="29"/>
      <c r="G483" s="29"/>
      <c r="H483" s="29"/>
      <c r="I483" s="29"/>
      <c r="J483" s="29"/>
      <c r="K483" s="29"/>
      <c r="L483" s="29"/>
      <c r="M483" s="29"/>
      <c r="N483" s="30"/>
      <c r="O483" s="42">
        <v>1</v>
      </c>
      <c r="P483" s="64" t="s">
        <v>206</v>
      </c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30"/>
      <c r="AD483" s="31"/>
      <c r="AE483" s="31"/>
      <c r="AF483" s="31"/>
      <c r="AG483" s="31"/>
      <c r="AH483" s="31"/>
      <c r="AI483" s="32"/>
    </row>
    <row r="484" spans="1:35" x14ac:dyDescent="0.25">
      <c r="A484" s="27"/>
      <c r="B484" s="28"/>
      <c r="C484" s="29"/>
      <c r="D484" s="30"/>
      <c r="E484" s="28"/>
      <c r="F484" s="29"/>
      <c r="G484" s="29"/>
      <c r="H484" s="58">
        <v>1.1200000000000001</v>
      </c>
      <c r="I484" s="29"/>
      <c r="J484" s="29"/>
      <c r="K484" s="29"/>
      <c r="L484" s="29"/>
      <c r="M484" s="29"/>
      <c r="N484" s="30"/>
      <c r="O484" s="28"/>
      <c r="P484" s="29" t="s">
        <v>160</v>
      </c>
      <c r="Q484" s="29" t="s">
        <v>207</v>
      </c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30"/>
      <c r="AD484" s="31"/>
      <c r="AE484" s="31"/>
      <c r="AF484" s="31"/>
      <c r="AG484" s="31"/>
      <c r="AH484" s="31"/>
      <c r="AI484" s="32"/>
    </row>
    <row r="485" spans="1:35" x14ac:dyDescent="0.25">
      <c r="A485" s="27"/>
      <c r="B485" s="28"/>
      <c r="C485" s="29"/>
      <c r="D485" s="30"/>
      <c r="E485" s="28"/>
      <c r="G485" s="29"/>
      <c r="H485" s="29"/>
      <c r="I485" s="29"/>
      <c r="J485" s="29"/>
      <c r="K485" s="29"/>
      <c r="L485" s="29"/>
      <c r="M485" s="29"/>
      <c r="N485" s="30"/>
      <c r="O485" s="28"/>
      <c r="P485" s="29"/>
      <c r="Q485" s="29" t="s">
        <v>208</v>
      </c>
      <c r="R485" s="29"/>
      <c r="S485" s="58">
        <v>4</v>
      </c>
      <c r="T485" s="29"/>
      <c r="U485" s="29"/>
      <c r="V485" s="29"/>
      <c r="W485" s="29"/>
      <c r="X485" s="29"/>
      <c r="Y485" s="29"/>
      <c r="Z485" s="29"/>
      <c r="AA485" s="29"/>
      <c r="AB485" s="29"/>
      <c r="AC485" s="30"/>
      <c r="AD485" s="31"/>
      <c r="AE485" s="31"/>
      <c r="AF485" s="31"/>
      <c r="AG485" s="31"/>
      <c r="AH485" s="31"/>
      <c r="AI485" s="32"/>
    </row>
    <row r="486" spans="1:35" x14ac:dyDescent="0.25">
      <c r="A486" s="27"/>
      <c r="B486" s="28"/>
      <c r="C486" s="29"/>
      <c r="D486" s="30"/>
      <c r="E486" s="28"/>
      <c r="G486" s="29"/>
      <c r="H486" s="29"/>
      <c r="I486" s="29"/>
      <c r="J486" s="29"/>
      <c r="K486" s="29"/>
      <c r="L486" s="29"/>
      <c r="M486" s="29"/>
      <c r="N486" s="30"/>
      <c r="O486" s="28"/>
      <c r="P486" s="29"/>
      <c r="Q486" s="29" t="s">
        <v>21</v>
      </c>
      <c r="R486" s="29"/>
      <c r="S486" s="29">
        <f>M494+M494+H484</f>
        <v>5.12</v>
      </c>
      <c r="T486" s="29"/>
      <c r="U486" s="29"/>
      <c r="V486" s="29"/>
      <c r="W486" s="29"/>
      <c r="X486" s="29"/>
      <c r="Y486" s="29"/>
      <c r="Z486" s="29"/>
      <c r="AA486" s="29"/>
      <c r="AB486" s="29"/>
      <c r="AC486" s="30"/>
      <c r="AD486" s="31"/>
      <c r="AE486" s="31"/>
      <c r="AF486" s="31"/>
      <c r="AG486" s="31"/>
      <c r="AH486" s="31"/>
      <c r="AI486" s="32"/>
    </row>
    <row r="487" spans="1:35" x14ac:dyDescent="0.25">
      <c r="A487" s="27"/>
      <c r="B487" s="28"/>
      <c r="C487" s="29"/>
      <c r="D487" s="30"/>
      <c r="E487" s="28"/>
      <c r="G487" s="29"/>
      <c r="H487" s="29"/>
      <c r="I487" s="29"/>
      <c r="J487" s="29"/>
      <c r="K487" s="29"/>
      <c r="L487" s="29"/>
      <c r="M487" s="29"/>
      <c r="N487" s="30"/>
      <c r="O487" s="28"/>
      <c r="P487" s="29"/>
      <c r="Q487" s="29" t="s">
        <v>22</v>
      </c>
      <c r="R487" s="29"/>
      <c r="S487" s="58">
        <v>0.12</v>
      </c>
      <c r="T487" s="29"/>
      <c r="U487" s="29"/>
      <c r="V487" s="29"/>
      <c r="W487" s="29"/>
      <c r="X487" s="29"/>
      <c r="Y487" s="29"/>
      <c r="Z487" s="29"/>
      <c r="AA487" s="29"/>
      <c r="AB487" s="29"/>
      <c r="AC487" s="30"/>
      <c r="AD487" s="31"/>
      <c r="AE487" s="31"/>
      <c r="AF487" s="31"/>
      <c r="AG487" s="31"/>
      <c r="AH487" s="31"/>
      <c r="AI487" s="32"/>
    </row>
    <row r="488" spans="1:35" x14ac:dyDescent="0.25">
      <c r="A488" s="27"/>
      <c r="B488" s="28"/>
      <c r="C488" s="29"/>
      <c r="D488" s="30"/>
      <c r="E488" s="28"/>
      <c r="G488" s="29"/>
      <c r="H488" s="29"/>
      <c r="I488" s="29"/>
      <c r="J488" s="29"/>
      <c r="K488" s="29"/>
      <c r="L488" s="29"/>
      <c r="M488" s="29"/>
      <c r="N488" s="30"/>
      <c r="O488" s="28"/>
      <c r="P488" s="29"/>
      <c r="Q488" s="29" t="s">
        <v>209</v>
      </c>
      <c r="R488" s="29"/>
      <c r="S488" s="58">
        <v>0.05</v>
      </c>
      <c r="T488" s="29"/>
      <c r="U488" s="29"/>
      <c r="V488" s="29"/>
      <c r="W488" s="29"/>
      <c r="X488" s="29"/>
      <c r="Y488" s="29"/>
      <c r="Z488" s="29"/>
      <c r="AA488" s="29"/>
      <c r="AB488" s="29"/>
      <c r="AC488" s="30"/>
      <c r="AD488" s="31"/>
      <c r="AE488" s="31"/>
      <c r="AF488" s="31"/>
      <c r="AG488" s="31"/>
      <c r="AH488" s="31"/>
      <c r="AI488" s="32"/>
    </row>
    <row r="489" spans="1:35" x14ac:dyDescent="0.25">
      <c r="A489" s="27"/>
      <c r="B489" s="28"/>
      <c r="C489" s="29"/>
      <c r="D489" s="30"/>
      <c r="E489" s="28"/>
      <c r="G489" s="29"/>
      <c r="H489" s="29"/>
      <c r="I489" s="29"/>
      <c r="J489" s="29"/>
      <c r="K489" s="29"/>
      <c r="L489" s="29"/>
      <c r="M489" s="29"/>
      <c r="N489" s="30"/>
      <c r="O489" s="28"/>
      <c r="P489" s="29"/>
      <c r="Q489" s="29" t="s">
        <v>210</v>
      </c>
      <c r="R489" s="29"/>
      <c r="S489" t="s">
        <v>211</v>
      </c>
      <c r="U489" s="29"/>
      <c r="V489" s="29"/>
      <c r="W489" s="29"/>
      <c r="X489" s="29"/>
      <c r="Y489" s="29"/>
      <c r="Z489" s="29"/>
      <c r="AA489" s="29"/>
      <c r="AB489" s="29"/>
      <c r="AC489" s="30"/>
      <c r="AD489" s="31"/>
      <c r="AE489" s="31"/>
      <c r="AF489" s="31"/>
      <c r="AG489" s="31"/>
      <c r="AH489" s="31"/>
      <c r="AI489" s="32"/>
    </row>
    <row r="490" spans="1:35" x14ac:dyDescent="0.25">
      <c r="A490" s="27"/>
      <c r="B490" s="28"/>
      <c r="C490" s="29"/>
      <c r="D490" s="30"/>
      <c r="E490" s="28"/>
      <c r="G490" s="29"/>
      <c r="H490" s="29"/>
      <c r="I490" s="29"/>
      <c r="J490" s="29"/>
      <c r="K490" s="29"/>
      <c r="L490" s="29"/>
      <c r="M490" s="29"/>
      <c r="N490" s="30"/>
      <c r="O490" s="28"/>
      <c r="P490" s="29"/>
      <c r="Q490" s="29"/>
      <c r="R490" s="29"/>
      <c r="S490" s="57">
        <f>(S486*S487*S488)*S485</f>
        <v>0.12287999999999999</v>
      </c>
      <c r="T490" s="29" t="s">
        <v>158</v>
      </c>
      <c r="U490" s="29"/>
      <c r="V490" s="29"/>
      <c r="W490" s="29"/>
      <c r="X490" s="29"/>
      <c r="Y490" s="29"/>
      <c r="Z490" s="29"/>
      <c r="AA490" s="29"/>
      <c r="AB490" s="29"/>
      <c r="AC490" s="30"/>
      <c r="AD490" s="31"/>
      <c r="AE490" s="31"/>
      <c r="AF490" s="31"/>
      <c r="AG490" s="31"/>
      <c r="AH490" s="31"/>
      <c r="AI490" s="32"/>
    </row>
    <row r="491" spans="1:35" x14ac:dyDescent="0.25">
      <c r="A491" s="27"/>
      <c r="B491" s="28"/>
      <c r="C491" s="29"/>
      <c r="D491" s="30"/>
      <c r="E491" s="28"/>
      <c r="F491" s="29"/>
      <c r="G491" s="29"/>
      <c r="H491" s="29"/>
      <c r="I491" s="29"/>
      <c r="J491" s="29"/>
      <c r="K491" s="29"/>
      <c r="L491" s="29"/>
      <c r="M491" s="29"/>
      <c r="N491" s="30"/>
      <c r="O491" s="28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30"/>
      <c r="AD491" s="31"/>
      <c r="AE491" s="31"/>
      <c r="AF491" s="31"/>
      <c r="AG491" s="31"/>
      <c r="AH491" s="31"/>
      <c r="AI491" s="32"/>
    </row>
    <row r="492" spans="1:35" x14ac:dyDescent="0.25">
      <c r="A492" s="27"/>
      <c r="B492" s="28"/>
      <c r="C492" s="29"/>
      <c r="D492" s="30"/>
      <c r="E492" s="28"/>
      <c r="F492" s="29"/>
      <c r="G492" s="29"/>
      <c r="H492" s="29"/>
      <c r="I492" s="29"/>
      <c r="J492" s="29"/>
      <c r="K492" s="29"/>
      <c r="L492" s="29"/>
      <c r="M492" s="29"/>
      <c r="N492" s="30"/>
      <c r="O492" s="28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30"/>
      <c r="AD492" s="31"/>
      <c r="AE492" s="31"/>
      <c r="AF492" s="31"/>
      <c r="AG492" s="31"/>
      <c r="AH492" s="31"/>
      <c r="AI492" s="32"/>
    </row>
    <row r="493" spans="1:35" x14ac:dyDescent="0.25">
      <c r="A493" s="27"/>
      <c r="B493" s="28"/>
      <c r="C493" s="29"/>
      <c r="D493" s="30"/>
      <c r="E493" s="28"/>
      <c r="F493" s="29"/>
      <c r="G493" s="29"/>
      <c r="H493" s="29"/>
      <c r="I493" s="29"/>
      <c r="J493" s="29"/>
      <c r="K493" s="29"/>
      <c r="L493" s="29"/>
      <c r="M493" s="29"/>
      <c r="N493" s="30"/>
      <c r="O493" s="28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30"/>
      <c r="AD493" s="31"/>
      <c r="AE493" s="31"/>
      <c r="AF493" s="31"/>
      <c r="AG493" s="31"/>
      <c r="AH493" s="31"/>
      <c r="AI493" s="32"/>
    </row>
    <row r="494" spans="1:35" x14ac:dyDescent="0.25">
      <c r="A494" s="27"/>
      <c r="B494" s="28"/>
      <c r="C494" s="29"/>
      <c r="D494" s="30"/>
      <c r="E494" s="28"/>
      <c r="F494" s="29"/>
      <c r="G494" s="29"/>
      <c r="H494" s="29"/>
      <c r="I494" s="29"/>
      <c r="J494" s="29"/>
      <c r="K494" s="29"/>
      <c r="L494" s="29"/>
      <c r="M494" s="56">
        <v>2</v>
      </c>
      <c r="N494" s="30"/>
      <c r="O494" s="28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30"/>
      <c r="AD494" s="31"/>
      <c r="AE494" s="31"/>
      <c r="AF494" s="31"/>
      <c r="AG494" s="31"/>
      <c r="AH494" s="31"/>
      <c r="AI494" s="32"/>
    </row>
    <row r="495" spans="1:35" x14ac:dyDescent="0.25">
      <c r="A495" s="27"/>
      <c r="B495" s="28"/>
      <c r="C495" s="29"/>
      <c r="D495" s="30"/>
      <c r="E495" s="28"/>
      <c r="F495" s="29"/>
      <c r="G495" s="29"/>
      <c r="H495" s="29"/>
      <c r="I495" s="29"/>
      <c r="J495" s="29"/>
      <c r="K495" s="29"/>
      <c r="L495" s="29"/>
      <c r="M495" s="29"/>
      <c r="N495" s="30"/>
      <c r="O495" s="28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30"/>
      <c r="AD495" s="31"/>
      <c r="AE495" s="31"/>
      <c r="AF495" s="31"/>
      <c r="AG495" s="31"/>
      <c r="AH495" s="31"/>
      <c r="AI495" s="32"/>
    </row>
    <row r="496" spans="1:35" x14ac:dyDescent="0.25">
      <c r="A496" s="27"/>
      <c r="B496" s="28"/>
      <c r="C496" s="29"/>
      <c r="D496" s="30"/>
      <c r="E496" s="28"/>
      <c r="F496" s="29"/>
      <c r="G496" s="29"/>
      <c r="H496" s="29"/>
      <c r="I496" s="29"/>
      <c r="J496" s="29"/>
      <c r="K496" s="29"/>
      <c r="L496" s="29"/>
      <c r="M496" s="29"/>
      <c r="N496" s="30"/>
      <c r="O496" s="28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30"/>
      <c r="AD496" s="31"/>
      <c r="AE496" s="31"/>
      <c r="AF496" s="31"/>
      <c r="AG496" s="31"/>
      <c r="AH496" s="31"/>
      <c r="AI496" s="32"/>
    </row>
    <row r="497" spans="1:35" x14ac:dyDescent="0.25">
      <c r="A497" s="27"/>
      <c r="B497" s="28"/>
      <c r="C497" s="29"/>
      <c r="D497" s="30"/>
      <c r="E497" s="28"/>
      <c r="F497" s="29"/>
      <c r="G497" s="29"/>
      <c r="H497" s="29"/>
      <c r="I497" s="29"/>
      <c r="J497" s="29"/>
      <c r="K497" s="29"/>
      <c r="L497" s="29"/>
      <c r="M497" s="29"/>
      <c r="N497" s="30"/>
      <c r="O497" s="28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30"/>
      <c r="AD497" s="31"/>
      <c r="AE497" s="31"/>
      <c r="AF497" s="31"/>
      <c r="AG497" s="31"/>
      <c r="AH497" s="31"/>
      <c r="AI497" s="32"/>
    </row>
    <row r="498" spans="1:35" x14ac:dyDescent="0.25">
      <c r="A498" s="27"/>
      <c r="B498" s="28"/>
      <c r="C498" s="29"/>
      <c r="D498" s="30"/>
      <c r="E498" s="28"/>
      <c r="F498" s="29"/>
      <c r="G498" s="29"/>
      <c r="H498" s="29"/>
      <c r="I498" s="29"/>
      <c r="J498" s="29"/>
      <c r="K498" s="29"/>
      <c r="L498" s="29"/>
      <c r="M498" s="29"/>
      <c r="N498" s="30"/>
      <c r="O498" s="28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30"/>
      <c r="AD498" s="31"/>
      <c r="AE498" s="31"/>
      <c r="AF498" s="31"/>
      <c r="AG498" s="31"/>
      <c r="AH498" s="31"/>
      <c r="AI498" s="32"/>
    </row>
    <row r="499" spans="1:35" x14ac:dyDescent="0.25">
      <c r="A499" s="27"/>
      <c r="B499" s="28"/>
      <c r="C499" s="29"/>
      <c r="D499" s="30"/>
      <c r="E499" s="28"/>
      <c r="F499" s="29"/>
      <c r="G499" s="29"/>
      <c r="H499" s="29"/>
      <c r="I499" s="29"/>
      <c r="J499" s="29"/>
      <c r="K499" s="29"/>
      <c r="L499" s="29"/>
      <c r="M499" s="29"/>
      <c r="N499" s="30"/>
      <c r="O499" s="28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30"/>
      <c r="AD499" s="31"/>
      <c r="AE499" s="31"/>
      <c r="AF499" s="31"/>
      <c r="AG499" s="31"/>
      <c r="AH499" s="31"/>
      <c r="AI499" s="32"/>
    </row>
    <row r="500" spans="1:35" x14ac:dyDescent="0.25">
      <c r="A500" s="27"/>
      <c r="B500" s="28"/>
      <c r="C500" s="29"/>
      <c r="D500" s="30"/>
      <c r="E500" s="28"/>
      <c r="F500" s="29"/>
      <c r="G500" s="29"/>
      <c r="H500" s="29"/>
      <c r="I500" s="29"/>
      <c r="J500" s="29"/>
      <c r="K500" s="29"/>
      <c r="L500" s="29"/>
      <c r="M500" s="29"/>
      <c r="N500" s="30"/>
      <c r="O500" s="28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30"/>
      <c r="AD500" s="31"/>
      <c r="AE500" s="31"/>
      <c r="AF500" s="31"/>
      <c r="AG500" s="31"/>
      <c r="AH500" s="31"/>
      <c r="AI500" s="32"/>
    </row>
    <row r="501" spans="1:35" x14ac:dyDescent="0.25">
      <c r="A501" s="27"/>
      <c r="B501" s="28"/>
      <c r="C501" s="29"/>
      <c r="D501" s="30"/>
      <c r="E501" s="28"/>
      <c r="F501" s="29"/>
      <c r="G501" s="29"/>
      <c r="H501" s="29"/>
      <c r="I501" s="29"/>
      <c r="J501" s="29"/>
      <c r="K501" s="29"/>
      <c r="L501" s="29"/>
      <c r="M501" s="29"/>
      <c r="N501" s="30"/>
      <c r="O501" s="28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30"/>
      <c r="AD501" s="31"/>
      <c r="AE501" s="31"/>
      <c r="AF501" s="31"/>
      <c r="AG501" s="31"/>
      <c r="AH501" s="31"/>
      <c r="AI501" s="32"/>
    </row>
    <row r="502" spans="1:35" x14ac:dyDescent="0.25">
      <c r="A502" s="27"/>
      <c r="B502" s="28"/>
      <c r="C502" s="29"/>
      <c r="D502" s="30"/>
      <c r="E502" s="28"/>
      <c r="F502" s="29"/>
      <c r="G502" s="29"/>
      <c r="H502" s="29"/>
      <c r="I502" s="29"/>
      <c r="J502" s="29"/>
      <c r="K502" s="29"/>
      <c r="L502" s="29"/>
      <c r="M502" s="29"/>
      <c r="N502" s="30"/>
      <c r="O502" s="28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30"/>
      <c r="AD502" s="31"/>
      <c r="AE502" s="31"/>
      <c r="AF502" s="31"/>
      <c r="AG502" s="31"/>
      <c r="AH502" s="31"/>
      <c r="AI502" s="32"/>
    </row>
    <row r="503" spans="1:35" x14ac:dyDescent="0.25">
      <c r="A503" s="27"/>
      <c r="B503" s="28"/>
      <c r="C503" s="29"/>
      <c r="D503" s="30"/>
      <c r="E503" s="28"/>
      <c r="F503" s="29"/>
      <c r="G503" s="29"/>
      <c r="I503" s="29"/>
      <c r="J503" s="29"/>
      <c r="K503" s="29"/>
      <c r="L503" s="29"/>
      <c r="M503" s="29"/>
      <c r="N503" s="30"/>
      <c r="O503" s="28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30"/>
      <c r="AD503" s="31"/>
      <c r="AE503" s="31"/>
      <c r="AF503" s="31"/>
      <c r="AG503" s="31"/>
      <c r="AH503" s="31"/>
      <c r="AI503" s="32"/>
    </row>
    <row r="504" spans="1:35" x14ac:dyDescent="0.25">
      <c r="A504" s="27"/>
      <c r="B504" s="28"/>
      <c r="C504" s="29"/>
      <c r="D504" s="30"/>
      <c r="E504" s="28"/>
      <c r="F504" s="29"/>
      <c r="H504" s="58">
        <v>1</v>
      </c>
      <c r="I504" s="29"/>
      <c r="J504" s="29"/>
      <c r="K504" s="29"/>
      <c r="L504" s="29"/>
      <c r="M504" s="29"/>
      <c r="N504" s="30"/>
      <c r="O504" s="28"/>
      <c r="P504" s="29" t="s">
        <v>161</v>
      </c>
      <c r="Q504" s="29" t="s">
        <v>212</v>
      </c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30"/>
      <c r="AD504" s="31"/>
      <c r="AE504" s="31"/>
      <c r="AF504" s="31"/>
      <c r="AG504" s="31"/>
      <c r="AH504" s="31"/>
      <c r="AI504" s="32"/>
    </row>
    <row r="505" spans="1:35" x14ac:dyDescent="0.25">
      <c r="A505" s="27"/>
      <c r="B505" s="28"/>
      <c r="C505" s="29"/>
      <c r="D505" s="30"/>
      <c r="E505" s="28"/>
      <c r="F505" s="29"/>
      <c r="G505" s="29"/>
      <c r="H505" s="29"/>
      <c r="I505" s="29"/>
      <c r="J505" s="29"/>
      <c r="K505" s="29"/>
      <c r="L505" s="29"/>
      <c r="M505" s="29"/>
      <c r="N505" s="30"/>
      <c r="O505" s="28"/>
      <c r="P505" s="29"/>
      <c r="Q505" s="29" t="s">
        <v>208</v>
      </c>
      <c r="R505" s="29"/>
      <c r="S505" s="58">
        <v>1</v>
      </c>
      <c r="T505" s="29"/>
      <c r="U505" s="29"/>
      <c r="V505" s="29"/>
      <c r="W505" s="29"/>
      <c r="X505" s="29"/>
      <c r="Y505" s="29"/>
      <c r="Z505" s="29"/>
      <c r="AA505" s="29"/>
      <c r="AB505" s="29"/>
      <c r="AC505" s="30"/>
      <c r="AD505" s="31"/>
      <c r="AE505" s="31"/>
      <c r="AF505" s="31"/>
      <c r="AG505" s="31"/>
      <c r="AH505" s="31"/>
      <c r="AI505" s="32"/>
    </row>
    <row r="506" spans="1:35" x14ac:dyDescent="0.25">
      <c r="A506" s="27"/>
      <c r="B506" s="28"/>
      <c r="C506" s="29"/>
      <c r="D506" s="30"/>
      <c r="E506" s="28"/>
      <c r="F506" s="29"/>
      <c r="G506" s="29"/>
      <c r="H506" s="29"/>
      <c r="I506" s="29"/>
      <c r="J506" s="29"/>
      <c r="K506" s="29"/>
      <c r="L506" s="29"/>
      <c r="M506" s="29"/>
      <c r="N506" s="30"/>
      <c r="O506" s="28"/>
      <c r="P506" s="29"/>
      <c r="Q506" s="29" t="s">
        <v>21</v>
      </c>
      <c r="R506" s="29"/>
      <c r="S506" s="29">
        <f>H504+M513+M513</f>
        <v>5</v>
      </c>
      <c r="T506" s="29"/>
      <c r="U506" s="29"/>
      <c r="V506" s="29"/>
      <c r="W506" s="29"/>
      <c r="X506" s="29"/>
      <c r="Y506" s="29"/>
      <c r="Z506" s="29"/>
      <c r="AA506" s="29"/>
      <c r="AB506" s="29"/>
      <c r="AC506" s="30"/>
      <c r="AD506" s="31"/>
      <c r="AE506" s="31"/>
      <c r="AF506" s="31"/>
      <c r="AG506" s="31"/>
      <c r="AH506" s="31"/>
      <c r="AI506" s="32"/>
    </row>
    <row r="507" spans="1:35" x14ac:dyDescent="0.25">
      <c r="A507" s="27"/>
      <c r="B507" s="28"/>
      <c r="C507" s="29"/>
      <c r="D507" s="30"/>
      <c r="E507" s="28"/>
      <c r="F507" s="29"/>
      <c r="G507" s="29"/>
      <c r="H507" s="29"/>
      <c r="I507" s="29"/>
      <c r="J507" s="29"/>
      <c r="K507" s="29"/>
      <c r="L507" s="29"/>
      <c r="M507" s="29"/>
      <c r="N507" s="30"/>
      <c r="O507" s="28"/>
      <c r="P507" s="29"/>
      <c r="Q507" s="29" t="s">
        <v>22</v>
      </c>
      <c r="R507" s="29"/>
      <c r="S507" s="58">
        <v>0.12</v>
      </c>
      <c r="T507" s="29"/>
      <c r="U507" s="29"/>
      <c r="V507" s="29"/>
      <c r="W507" s="29"/>
      <c r="X507" s="29"/>
      <c r="Y507" s="29"/>
      <c r="Z507" s="29"/>
      <c r="AA507" s="29"/>
      <c r="AB507" s="29"/>
      <c r="AC507" s="30"/>
      <c r="AD507" s="31"/>
      <c r="AE507" s="31"/>
      <c r="AF507" s="31"/>
      <c r="AG507" s="31"/>
      <c r="AH507" s="31"/>
      <c r="AI507" s="32"/>
    </row>
    <row r="508" spans="1:35" x14ac:dyDescent="0.25">
      <c r="A508" s="27"/>
      <c r="B508" s="28"/>
      <c r="C508" s="29"/>
      <c r="D508" s="30"/>
      <c r="E508" s="28"/>
      <c r="F508" s="29"/>
      <c r="G508" s="29"/>
      <c r="H508" s="29"/>
      <c r="I508" s="29"/>
      <c r="J508" s="29"/>
      <c r="K508" s="29"/>
      <c r="L508" s="29"/>
      <c r="M508" s="29"/>
      <c r="N508" s="30"/>
      <c r="O508" s="28"/>
      <c r="P508" s="29"/>
      <c r="Q508" s="29" t="s">
        <v>209</v>
      </c>
      <c r="R508" s="29"/>
      <c r="S508" s="58">
        <v>0.05</v>
      </c>
      <c r="T508" s="29"/>
      <c r="U508" s="29"/>
      <c r="V508" s="29"/>
      <c r="W508" s="29"/>
      <c r="X508" s="29"/>
      <c r="Y508" s="29"/>
      <c r="Z508" s="29"/>
      <c r="AA508" s="29"/>
      <c r="AB508" s="29"/>
      <c r="AC508" s="30"/>
      <c r="AD508" s="31"/>
      <c r="AE508" s="31"/>
      <c r="AF508" s="31"/>
      <c r="AG508" s="31"/>
      <c r="AH508" s="31"/>
      <c r="AI508" s="32"/>
    </row>
    <row r="509" spans="1:35" x14ac:dyDescent="0.25">
      <c r="A509" s="27"/>
      <c r="B509" s="28"/>
      <c r="C509" s="29"/>
      <c r="D509" s="30"/>
      <c r="E509" s="28"/>
      <c r="F509" s="29"/>
      <c r="G509" s="29"/>
      <c r="H509" s="29"/>
      <c r="I509" s="29"/>
      <c r="J509" s="29"/>
      <c r="K509" s="29"/>
      <c r="L509" s="29"/>
      <c r="M509" s="29"/>
      <c r="N509" s="30"/>
      <c r="O509" s="28"/>
      <c r="P509" s="29"/>
      <c r="Q509" s="29" t="s">
        <v>210</v>
      </c>
      <c r="R509" s="29"/>
      <c r="S509" t="s">
        <v>211</v>
      </c>
      <c r="U509" s="29"/>
      <c r="V509" s="29"/>
      <c r="W509" s="29"/>
      <c r="X509" s="29"/>
      <c r="Y509" s="29"/>
      <c r="Z509" s="29"/>
      <c r="AA509" s="29"/>
      <c r="AB509" s="29"/>
      <c r="AC509" s="30"/>
      <c r="AD509" s="31"/>
      <c r="AE509" s="31"/>
      <c r="AF509" s="31"/>
      <c r="AG509" s="31"/>
      <c r="AH509" s="31"/>
      <c r="AI509" s="32"/>
    </row>
    <row r="510" spans="1:35" x14ac:dyDescent="0.25">
      <c r="A510" s="27"/>
      <c r="B510" s="28"/>
      <c r="C510" s="29"/>
      <c r="D510" s="30"/>
      <c r="E510" s="28"/>
      <c r="F510" s="29"/>
      <c r="G510" s="29"/>
      <c r="H510" s="29"/>
      <c r="I510" s="29"/>
      <c r="J510" s="29"/>
      <c r="K510" s="29"/>
      <c r="L510" s="29"/>
      <c r="M510" s="29"/>
      <c r="N510" s="30"/>
      <c r="O510" s="28"/>
      <c r="P510" s="29"/>
      <c r="Q510" s="29"/>
      <c r="R510" s="29"/>
      <c r="S510" s="57">
        <f>(S506*S507*S508)*S505</f>
        <v>0.03</v>
      </c>
      <c r="T510" s="29" t="s">
        <v>158</v>
      </c>
      <c r="U510" s="29"/>
      <c r="V510" s="29"/>
      <c r="W510" s="29"/>
      <c r="X510" s="29"/>
      <c r="Y510" s="29"/>
      <c r="Z510" s="29"/>
      <c r="AA510" s="29"/>
      <c r="AB510" s="29"/>
      <c r="AC510" s="30"/>
      <c r="AD510" s="31"/>
      <c r="AE510" s="31"/>
      <c r="AF510" s="31"/>
      <c r="AG510" s="31"/>
      <c r="AH510" s="31"/>
      <c r="AI510" s="32"/>
    </row>
    <row r="511" spans="1:35" x14ac:dyDescent="0.25">
      <c r="A511" s="27"/>
      <c r="B511" s="28"/>
      <c r="C511" s="29"/>
      <c r="D511" s="30"/>
      <c r="E511" s="28"/>
      <c r="F511" s="29"/>
      <c r="G511" s="29"/>
      <c r="H511" s="29"/>
      <c r="I511" s="29"/>
      <c r="J511" s="29"/>
      <c r="K511" s="29"/>
      <c r="L511" s="29"/>
      <c r="M511" s="29"/>
      <c r="N511" s="30"/>
      <c r="O511" s="28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30"/>
      <c r="AD511" s="31"/>
      <c r="AE511" s="31"/>
      <c r="AF511" s="31"/>
      <c r="AG511" s="31"/>
      <c r="AH511" s="31"/>
      <c r="AI511" s="32"/>
    </row>
    <row r="512" spans="1:35" x14ac:dyDescent="0.25">
      <c r="A512" s="27"/>
      <c r="B512" s="28"/>
      <c r="C512" s="29"/>
      <c r="D512" s="30"/>
      <c r="E512" s="28"/>
      <c r="F512" s="29"/>
      <c r="G512" s="29"/>
      <c r="H512" s="29"/>
      <c r="I512" s="29"/>
      <c r="J512" s="29"/>
      <c r="K512" s="29"/>
      <c r="L512" s="29"/>
      <c r="M512" s="29"/>
      <c r="N512" s="30"/>
      <c r="O512" s="28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30"/>
      <c r="AD512" s="31"/>
      <c r="AE512" s="31"/>
      <c r="AF512" s="31"/>
      <c r="AG512" s="31"/>
      <c r="AH512" s="31"/>
      <c r="AI512" s="32"/>
    </row>
    <row r="513" spans="1:35" x14ac:dyDescent="0.25">
      <c r="A513" s="27"/>
      <c r="B513" s="28"/>
      <c r="C513" s="29"/>
      <c r="D513" s="30"/>
      <c r="E513" s="28"/>
      <c r="F513" s="29"/>
      <c r="G513" s="29"/>
      <c r="H513" s="29"/>
      <c r="I513" s="29"/>
      <c r="J513" s="29"/>
      <c r="K513" s="29"/>
      <c r="M513" s="58">
        <v>2</v>
      </c>
      <c r="N513" s="30"/>
      <c r="O513" s="28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30"/>
      <c r="AD513" s="31"/>
      <c r="AE513" s="31"/>
      <c r="AF513" s="31"/>
      <c r="AG513" s="31"/>
      <c r="AH513" s="31"/>
      <c r="AI513" s="32"/>
    </row>
    <row r="514" spans="1:35" x14ac:dyDescent="0.25">
      <c r="A514" s="27"/>
      <c r="B514" s="28"/>
      <c r="C514" s="29"/>
      <c r="D514" s="30"/>
      <c r="E514" s="28"/>
      <c r="F514" s="29"/>
      <c r="G514" s="29"/>
      <c r="H514" s="29"/>
      <c r="I514" s="29"/>
      <c r="J514" s="29"/>
      <c r="K514" s="29"/>
      <c r="L514" s="29"/>
      <c r="M514" s="29"/>
      <c r="N514" s="30"/>
      <c r="O514" s="28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30"/>
      <c r="AD514" s="31"/>
      <c r="AE514" s="31"/>
      <c r="AF514" s="31"/>
      <c r="AG514" s="31"/>
      <c r="AH514" s="31"/>
      <c r="AI514" s="32"/>
    </row>
    <row r="515" spans="1:35" x14ac:dyDescent="0.25">
      <c r="A515" s="27"/>
      <c r="B515" s="28"/>
      <c r="C515" s="29"/>
      <c r="D515" s="30"/>
      <c r="E515" s="28"/>
      <c r="F515" s="29"/>
      <c r="G515" s="29"/>
      <c r="H515" s="29"/>
      <c r="I515" s="29"/>
      <c r="J515" s="29"/>
      <c r="K515" s="29"/>
      <c r="L515" s="29"/>
      <c r="M515" s="29"/>
      <c r="N515" s="30"/>
      <c r="O515" s="28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30"/>
      <c r="AD515" s="31"/>
      <c r="AE515" s="31"/>
      <c r="AF515" s="31"/>
      <c r="AG515" s="31"/>
      <c r="AH515" s="31"/>
      <c r="AI515" s="32"/>
    </row>
    <row r="516" spans="1:35" x14ac:dyDescent="0.25">
      <c r="A516" s="27"/>
      <c r="B516" s="28"/>
      <c r="C516" s="29"/>
      <c r="D516" s="30"/>
      <c r="E516" s="28"/>
      <c r="F516" s="29"/>
      <c r="G516" s="29"/>
      <c r="H516" s="29"/>
      <c r="I516" s="29"/>
      <c r="J516" s="29"/>
      <c r="K516" s="29"/>
      <c r="L516" s="29"/>
      <c r="M516" s="29"/>
      <c r="N516" s="30"/>
      <c r="O516" s="28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30"/>
      <c r="AD516" s="31"/>
      <c r="AE516" s="31"/>
      <c r="AF516" s="31"/>
      <c r="AG516" s="31"/>
      <c r="AH516" s="31"/>
      <c r="AI516" s="32"/>
    </row>
    <row r="517" spans="1:35" x14ac:dyDescent="0.25">
      <c r="A517" s="27"/>
      <c r="B517" s="28"/>
      <c r="C517" s="29"/>
      <c r="D517" s="30"/>
      <c r="E517" s="28"/>
      <c r="F517" s="29"/>
      <c r="G517" s="29"/>
      <c r="H517" s="29"/>
      <c r="I517" s="29"/>
      <c r="J517" s="29"/>
      <c r="K517" s="29"/>
      <c r="L517" s="29"/>
      <c r="M517" s="29"/>
      <c r="N517" s="30"/>
      <c r="O517" s="28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30"/>
      <c r="AD517" s="31"/>
      <c r="AE517" s="31"/>
      <c r="AF517" s="31"/>
      <c r="AG517" s="31"/>
      <c r="AH517" s="31"/>
      <c r="AI517" s="32"/>
    </row>
    <row r="518" spans="1:35" x14ac:dyDescent="0.25">
      <c r="A518" s="27"/>
      <c r="B518" s="28"/>
      <c r="C518" s="29"/>
      <c r="D518" s="30"/>
      <c r="E518" s="28"/>
      <c r="F518" s="29"/>
      <c r="G518" s="29"/>
      <c r="H518" s="29"/>
      <c r="I518" s="29"/>
      <c r="J518" s="29"/>
      <c r="K518" s="29"/>
      <c r="L518" s="29"/>
      <c r="M518" s="29"/>
      <c r="N518" s="30"/>
      <c r="O518" s="28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30"/>
      <c r="AD518" s="31"/>
      <c r="AE518" s="31"/>
      <c r="AF518" s="31"/>
      <c r="AG518" s="31"/>
      <c r="AH518" s="31"/>
      <c r="AI518" s="32"/>
    </row>
    <row r="519" spans="1:35" x14ac:dyDescent="0.25">
      <c r="A519" s="27"/>
      <c r="B519" s="28"/>
      <c r="C519" s="29"/>
      <c r="D519" s="30"/>
      <c r="E519" s="28"/>
      <c r="F519" s="29"/>
      <c r="G519" s="29"/>
      <c r="H519" s="29"/>
      <c r="I519" s="29"/>
      <c r="J519" s="29"/>
      <c r="K519" s="29"/>
      <c r="L519" s="29"/>
      <c r="M519" s="29"/>
      <c r="N519" s="30"/>
      <c r="O519" s="28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30"/>
      <c r="AD519" s="31"/>
      <c r="AE519" s="31"/>
      <c r="AF519" s="31"/>
      <c r="AG519" s="31"/>
      <c r="AH519" s="31"/>
      <c r="AI519" s="32"/>
    </row>
    <row r="520" spans="1:35" x14ac:dyDescent="0.25">
      <c r="A520" s="27"/>
      <c r="B520" s="28"/>
      <c r="C520" s="29"/>
      <c r="D520" s="30"/>
      <c r="E520" s="28"/>
      <c r="F520" s="29"/>
      <c r="G520" s="29"/>
      <c r="H520" s="29"/>
      <c r="I520" s="29"/>
      <c r="J520" s="29"/>
      <c r="K520" s="29"/>
      <c r="L520" s="29"/>
      <c r="M520" s="29"/>
      <c r="N520" s="30"/>
      <c r="O520" s="28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30"/>
      <c r="AD520" s="31"/>
      <c r="AE520" s="31"/>
      <c r="AF520" s="31"/>
      <c r="AG520" s="31"/>
      <c r="AH520" s="31"/>
      <c r="AI520" s="32"/>
    </row>
    <row r="521" spans="1:35" x14ac:dyDescent="0.25">
      <c r="A521" s="27"/>
      <c r="B521" s="28"/>
      <c r="C521" s="29"/>
      <c r="D521" s="30"/>
      <c r="E521" s="28"/>
      <c r="F521" s="29"/>
      <c r="G521" s="29"/>
      <c r="H521" s="29"/>
      <c r="I521" s="29"/>
      <c r="J521" s="29"/>
      <c r="K521" s="29"/>
      <c r="L521" s="29"/>
      <c r="M521" s="29"/>
      <c r="N521" s="30"/>
      <c r="O521" s="28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30"/>
      <c r="AD521" s="31"/>
      <c r="AE521" s="31"/>
      <c r="AF521" s="31"/>
      <c r="AG521" s="31"/>
      <c r="AH521" s="31"/>
      <c r="AI521" s="32"/>
    </row>
    <row r="522" spans="1:35" x14ac:dyDescent="0.25">
      <c r="A522" s="27"/>
      <c r="B522" s="28"/>
      <c r="C522" s="29"/>
      <c r="D522" s="30"/>
      <c r="E522" s="28"/>
      <c r="F522" s="29"/>
      <c r="G522" s="29"/>
      <c r="H522" s="58">
        <v>0.9</v>
      </c>
      <c r="I522" s="29"/>
      <c r="J522" s="29"/>
      <c r="K522" s="29"/>
      <c r="L522" s="29"/>
      <c r="M522" s="29"/>
      <c r="N522" s="30"/>
      <c r="O522" s="28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30"/>
      <c r="AD522" s="31"/>
      <c r="AE522" s="31"/>
      <c r="AF522" s="31"/>
      <c r="AG522" s="31"/>
      <c r="AH522" s="31"/>
      <c r="AI522" s="32"/>
    </row>
    <row r="523" spans="1:35" x14ac:dyDescent="0.25">
      <c r="A523" s="27"/>
      <c r="B523" s="28"/>
      <c r="C523" s="29"/>
      <c r="D523" s="30"/>
      <c r="E523" s="28"/>
      <c r="F523" s="29"/>
      <c r="G523" s="29"/>
      <c r="H523" s="29"/>
      <c r="I523" s="29"/>
      <c r="J523" s="29"/>
      <c r="K523" s="29"/>
      <c r="L523" s="29"/>
      <c r="M523" s="29"/>
      <c r="N523" s="30"/>
      <c r="O523" s="28"/>
      <c r="P523" s="29" t="s">
        <v>215</v>
      </c>
      <c r="Q523" s="29" t="s">
        <v>213</v>
      </c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30"/>
      <c r="AD523" s="31"/>
      <c r="AE523" s="31"/>
      <c r="AF523" s="31"/>
      <c r="AG523" s="31"/>
      <c r="AH523" s="31"/>
      <c r="AI523" s="32"/>
    </row>
    <row r="524" spans="1:35" x14ac:dyDescent="0.25">
      <c r="A524" s="27"/>
      <c r="B524" s="28"/>
      <c r="C524" s="29"/>
      <c r="D524" s="30"/>
      <c r="E524" s="28"/>
      <c r="F524" s="29"/>
      <c r="G524" s="29"/>
      <c r="H524" s="29"/>
      <c r="I524" s="29"/>
      <c r="J524" s="29"/>
      <c r="K524" s="29"/>
      <c r="L524" s="29"/>
      <c r="M524" s="29"/>
      <c r="N524" s="30"/>
      <c r="O524" s="28"/>
      <c r="P524" s="29"/>
      <c r="Q524" s="29" t="s">
        <v>208</v>
      </c>
      <c r="R524" s="29"/>
      <c r="S524" s="58">
        <v>2</v>
      </c>
      <c r="T524" s="29"/>
      <c r="U524" s="29"/>
      <c r="V524" s="29"/>
      <c r="W524" s="29"/>
      <c r="X524" s="29"/>
      <c r="Y524" s="29"/>
      <c r="Z524" s="29"/>
      <c r="AA524" s="29"/>
      <c r="AB524" s="29"/>
      <c r="AC524" s="30"/>
      <c r="AD524" s="31"/>
      <c r="AE524" s="31"/>
      <c r="AF524" s="31"/>
      <c r="AG524" s="31"/>
      <c r="AH524" s="31"/>
      <c r="AI524" s="32"/>
    </row>
    <row r="525" spans="1:35" x14ac:dyDescent="0.25">
      <c r="A525" s="27"/>
      <c r="B525" s="28"/>
      <c r="C525" s="29"/>
      <c r="D525" s="30"/>
      <c r="E525" s="28"/>
      <c r="F525" s="29"/>
      <c r="G525" s="29"/>
      <c r="H525" s="29"/>
      <c r="I525" s="29"/>
      <c r="J525" s="29"/>
      <c r="K525" s="29"/>
      <c r="L525" s="29"/>
      <c r="M525" s="29"/>
      <c r="N525" s="30"/>
      <c r="O525" s="28"/>
      <c r="P525" s="29"/>
      <c r="Q525" s="29" t="s">
        <v>21</v>
      </c>
      <c r="R525" s="29"/>
      <c r="S525" s="29">
        <f>(H522*3)+(M528*2)</f>
        <v>4.3000000000000007</v>
      </c>
      <c r="T525" s="29"/>
      <c r="U525" s="29"/>
      <c r="V525" s="29"/>
      <c r="W525" s="29"/>
      <c r="X525" s="29"/>
      <c r="Y525" s="29"/>
      <c r="Z525" s="29"/>
      <c r="AA525" s="29"/>
      <c r="AB525" s="29"/>
      <c r="AC525" s="30"/>
      <c r="AD525" s="31"/>
      <c r="AE525" s="31"/>
      <c r="AF525" s="31"/>
      <c r="AG525" s="31"/>
      <c r="AH525" s="31"/>
      <c r="AI525" s="32"/>
    </row>
    <row r="526" spans="1:35" x14ac:dyDescent="0.25">
      <c r="A526" s="27"/>
      <c r="B526" s="28"/>
      <c r="C526" s="29"/>
      <c r="D526" s="30"/>
      <c r="E526" s="28"/>
      <c r="F526" s="29"/>
      <c r="G526" s="29"/>
      <c r="H526" s="29"/>
      <c r="I526" s="29"/>
      <c r="J526" s="29"/>
      <c r="K526" s="29"/>
      <c r="L526" s="29"/>
      <c r="M526" s="29"/>
      <c r="N526" s="30"/>
      <c r="O526" s="28"/>
      <c r="P526" s="29"/>
      <c r="Q526" s="29" t="s">
        <v>22</v>
      </c>
      <c r="R526" s="29"/>
      <c r="S526" s="58">
        <v>0.12</v>
      </c>
      <c r="T526" s="29"/>
      <c r="U526" s="29"/>
      <c r="V526" s="29"/>
      <c r="W526" s="29"/>
      <c r="X526" s="29"/>
      <c r="Y526" s="29"/>
      <c r="Z526" s="29"/>
      <c r="AA526" s="29"/>
      <c r="AB526" s="29"/>
      <c r="AC526" s="30"/>
      <c r="AD526" s="31"/>
      <c r="AE526" s="31"/>
      <c r="AF526" s="31"/>
      <c r="AG526" s="31"/>
      <c r="AH526" s="31"/>
      <c r="AI526" s="32"/>
    </row>
    <row r="527" spans="1:35" x14ac:dyDescent="0.25">
      <c r="A527" s="27"/>
      <c r="B527" s="28"/>
      <c r="C527" s="29"/>
      <c r="D527" s="30"/>
      <c r="E527" s="28"/>
      <c r="F527" s="29"/>
      <c r="G527" s="29"/>
      <c r="H527" s="29"/>
      <c r="I527" s="29"/>
      <c r="J527" s="29"/>
      <c r="K527" s="29"/>
      <c r="L527" s="29"/>
      <c r="M527" s="29"/>
      <c r="N527" s="30"/>
      <c r="O527" s="28"/>
      <c r="P527" s="29"/>
      <c r="Q527" s="29" t="s">
        <v>209</v>
      </c>
      <c r="R527" s="29"/>
      <c r="S527" s="58">
        <v>0.05</v>
      </c>
      <c r="T527" s="29"/>
      <c r="U527" s="29"/>
      <c r="V527" s="29"/>
      <c r="W527" s="29"/>
      <c r="X527" s="29"/>
      <c r="Y527" s="29"/>
      <c r="Z527" s="29"/>
      <c r="AA527" s="29"/>
      <c r="AB527" s="29"/>
      <c r="AC527" s="30"/>
      <c r="AD527" s="31"/>
      <c r="AE527" s="31"/>
      <c r="AF527" s="31"/>
      <c r="AG527" s="31"/>
      <c r="AH527" s="31"/>
      <c r="AI527" s="32"/>
    </row>
    <row r="528" spans="1:35" x14ac:dyDescent="0.25">
      <c r="A528" s="27"/>
      <c r="B528" s="28"/>
      <c r="C528" s="29"/>
      <c r="D528" s="30"/>
      <c r="E528" s="28"/>
      <c r="F528" s="29"/>
      <c r="G528" s="29"/>
      <c r="H528" s="29"/>
      <c r="I528" s="29"/>
      <c r="J528" s="29"/>
      <c r="K528" s="29"/>
      <c r="L528" s="29"/>
      <c r="M528" s="58">
        <v>0.8</v>
      </c>
      <c r="N528" s="30"/>
      <c r="O528" s="28"/>
      <c r="P528" s="29"/>
      <c r="Q528" s="29" t="s">
        <v>210</v>
      </c>
      <c r="R528" s="29"/>
      <c r="S528" t="s">
        <v>211</v>
      </c>
      <c r="U528" s="29"/>
      <c r="V528" s="29"/>
      <c r="W528" s="29"/>
      <c r="X528" s="29"/>
      <c r="Y528" s="29"/>
      <c r="Z528" s="29"/>
      <c r="AA528" s="29"/>
      <c r="AB528" s="29"/>
      <c r="AC528" s="30"/>
      <c r="AD528" s="31"/>
      <c r="AE528" s="31"/>
      <c r="AF528" s="31"/>
      <c r="AG528" s="31"/>
      <c r="AH528" s="31"/>
      <c r="AI528" s="32"/>
    </row>
    <row r="529" spans="1:35" x14ac:dyDescent="0.25">
      <c r="A529" s="27"/>
      <c r="B529" s="28"/>
      <c r="C529" s="29"/>
      <c r="D529" s="30"/>
      <c r="E529" s="28"/>
      <c r="F529" s="29"/>
      <c r="G529" s="29"/>
      <c r="H529" s="29"/>
      <c r="I529" s="29"/>
      <c r="J529" s="29"/>
      <c r="K529" s="29"/>
      <c r="L529" s="29"/>
      <c r="M529" s="29"/>
      <c r="N529" s="30"/>
      <c r="O529" s="28"/>
      <c r="P529" s="29"/>
      <c r="Q529" s="29"/>
      <c r="R529" s="29"/>
      <c r="S529" s="57">
        <f>(S525*S526*S527)*S524</f>
        <v>5.1600000000000007E-2</v>
      </c>
      <c r="T529" s="29" t="s">
        <v>158</v>
      </c>
      <c r="U529" s="29"/>
      <c r="V529" s="29"/>
      <c r="W529" s="29"/>
      <c r="X529" s="29"/>
      <c r="Y529" s="29"/>
      <c r="Z529" s="29"/>
      <c r="AA529" s="29"/>
      <c r="AB529" s="29"/>
      <c r="AC529" s="30"/>
      <c r="AD529" s="31"/>
      <c r="AE529" s="31"/>
      <c r="AF529" s="31"/>
      <c r="AG529" s="31"/>
      <c r="AH529" s="31"/>
      <c r="AI529" s="32"/>
    </row>
    <row r="530" spans="1:35" x14ac:dyDescent="0.25">
      <c r="A530" s="27"/>
      <c r="B530" s="28"/>
      <c r="C530" s="29"/>
      <c r="D530" s="30"/>
      <c r="E530" s="28"/>
      <c r="F530" s="29"/>
      <c r="G530" s="29"/>
      <c r="H530" s="29"/>
      <c r="I530" s="29"/>
      <c r="J530" s="29"/>
      <c r="K530" s="29"/>
      <c r="L530" s="29"/>
      <c r="M530" s="29"/>
      <c r="N530" s="30"/>
      <c r="O530" s="28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30"/>
      <c r="AD530" s="31"/>
      <c r="AE530" s="31"/>
      <c r="AF530" s="31"/>
      <c r="AG530" s="31"/>
      <c r="AH530" s="31"/>
      <c r="AI530" s="32"/>
    </row>
    <row r="531" spans="1:35" x14ac:dyDescent="0.25">
      <c r="A531" s="27"/>
      <c r="B531" s="28"/>
      <c r="C531" s="29"/>
      <c r="D531" s="30"/>
      <c r="E531" s="28"/>
      <c r="F531" s="29"/>
      <c r="G531" s="29"/>
      <c r="H531" s="29"/>
      <c r="I531" s="29"/>
      <c r="J531" s="29"/>
      <c r="K531" s="29"/>
      <c r="L531" s="29"/>
      <c r="M531" s="29"/>
      <c r="N531" s="30"/>
      <c r="O531" s="28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30"/>
      <c r="AD531" s="31"/>
      <c r="AE531" s="31"/>
      <c r="AF531" s="31"/>
      <c r="AG531" s="31"/>
      <c r="AH531" s="31"/>
      <c r="AI531" s="32"/>
    </row>
    <row r="532" spans="1:35" x14ac:dyDescent="0.25">
      <c r="A532" s="27"/>
      <c r="B532" s="28"/>
      <c r="C532" s="29"/>
      <c r="D532" s="30"/>
      <c r="E532" s="28"/>
      <c r="F532" s="29"/>
      <c r="G532" s="29"/>
      <c r="H532" s="29"/>
      <c r="I532" s="29"/>
      <c r="J532" s="29"/>
      <c r="K532" s="29"/>
      <c r="L532" s="29"/>
      <c r="M532" s="29"/>
      <c r="N532" s="30"/>
      <c r="O532" s="28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30"/>
      <c r="AD532" s="31"/>
      <c r="AE532" s="31"/>
      <c r="AF532" s="31"/>
      <c r="AG532" s="31"/>
      <c r="AH532" s="31"/>
      <c r="AI532" s="32"/>
    </row>
    <row r="533" spans="1:35" x14ac:dyDescent="0.25">
      <c r="A533" s="27"/>
      <c r="B533" s="28"/>
      <c r="C533" s="29"/>
      <c r="D533" s="30"/>
      <c r="E533" s="28"/>
      <c r="F533" s="29"/>
      <c r="G533" s="29"/>
      <c r="H533" s="29"/>
      <c r="I533" s="29"/>
      <c r="J533" s="29"/>
      <c r="K533" s="29"/>
      <c r="L533" s="29"/>
      <c r="M533" s="29"/>
      <c r="N533" s="30"/>
      <c r="O533" s="28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30"/>
      <c r="AD533" s="31"/>
      <c r="AE533" s="31"/>
      <c r="AF533" s="31"/>
      <c r="AG533" s="31"/>
      <c r="AH533" s="31"/>
      <c r="AI533" s="32"/>
    </row>
    <row r="534" spans="1:35" ht="15.75" thickBot="1" x14ac:dyDescent="0.3">
      <c r="A534" s="5"/>
      <c r="B534" s="17"/>
      <c r="C534" s="18"/>
      <c r="D534" s="19"/>
      <c r="E534" s="17"/>
      <c r="F534" s="18"/>
      <c r="G534" s="18"/>
      <c r="H534" s="18"/>
      <c r="I534" s="18"/>
      <c r="J534" s="18"/>
      <c r="K534" s="18"/>
      <c r="L534" s="18"/>
      <c r="M534" s="18"/>
      <c r="N534" s="19"/>
      <c r="O534" s="17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9"/>
      <c r="AD534" s="6"/>
      <c r="AE534" s="6"/>
      <c r="AF534" s="6"/>
      <c r="AG534" s="6"/>
      <c r="AH534" s="6"/>
      <c r="AI534" s="7"/>
    </row>
    <row r="535" spans="1:35" ht="15.75" thickTop="1" x14ac:dyDescent="0.25">
      <c r="A535" s="597"/>
      <c r="B535" s="272"/>
      <c r="C535" s="598"/>
      <c r="D535" s="273"/>
      <c r="E535" s="272"/>
      <c r="F535" s="598"/>
      <c r="G535" s="598"/>
      <c r="H535" s="598"/>
      <c r="I535" s="598"/>
      <c r="J535" s="598"/>
      <c r="K535" s="598"/>
      <c r="L535" s="598"/>
      <c r="M535" s="598"/>
      <c r="N535" s="273"/>
      <c r="O535" s="272"/>
      <c r="P535" s="598"/>
      <c r="Q535" s="598"/>
      <c r="R535" s="598"/>
      <c r="S535" s="598"/>
      <c r="T535" s="598"/>
      <c r="U535" s="598"/>
      <c r="V535" s="598"/>
      <c r="W535" s="598"/>
      <c r="X535" s="598"/>
      <c r="Y535" s="598"/>
      <c r="Z535" s="598"/>
      <c r="AA535" s="598"/>
      <c r="AB535" s="598"/>
      <c r="AC535" s="273"/>
      <c r="AD535" s="274"/>
      <c r="AE535" s="274"/>
      <c r="AF535" s="274"/>
      <c r="AG535" s="274"/>
      <c r="AH535" s="274"/>
      <c r="AI535" s="599"/>
    </row>
    <row r="536" spans="1:35" x14ac:dyDescent="0.25">
      <c r="A536" s="27"/>
      <c r="B536" s="28"/>
      <c r="C536" s="29"/>
      <c r="D536" s="30"/>
      <c r="E536" s="28"/>
      <c r="F536" s="29"/>
      <c r="G536" s="29"/>
      <c r="H536" s="58">
        <v>1.28</v>
      </c>
      <c r="I536" s="29"/>
      <c r="J536" s="29"/>
      <c r="K536" s="29"/>
      <c r="L536" s="29"/>
      <c r="M536" s="29"/>
      <c r="N536" s="30"/>
      <c r="O536" s="28"/>
      <c r="P536" s="29" t="s">
        <v>214</v>
      </c>
      <c r="Q536" s="29" t="s">
        <v>216</v>
      </c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30"/>
      <c r="AD536" s="31"/>
      <c r="AE536" s="31"/>
      <c r="AF536" s="31"/>
      <c r="AG536" s="31"/>
      <c r="AH536" s="31"/>
      <c r="AI536" s="32"/>
    </row>
    <row r="537" spans="1:35" x14ac:dyDescent="0.25">
      <c r="A537" s="27"/>
      <c r="B537" s="28"/>
      <c r="C537" s="29"/>
      <c r="D537" s="30"/>
      <c r="E537" s="28"/>
      <c r="F537" s="29"/>
      <c r="G537" s="29"/>
      <c r="H537" s="29"/>
      <c r="I537" s="29"/>
      <c r="J537" s="29"/>
      <c r="K537" s="29"/>
      <c r="L537" s="29"/>
      <c r="M537" s="29"/>
      <c r="N537" s="30"/>
      <c r="O537" s="28"/>
      <c r="P537" s="29"/>
      <c r="Q537" s="29" t="s">
        <v>208</v>
      </c>
      <c r="R537" s="29"/>
      <c r="S537" s="58">
        <v>1</v>
      </c>
      <c r="T537" s="29"/>
      <c r="U537" s="29"/>
      <c r="V537" s="29"/>
      <c r="W537" s="29"/>
      <c r="X537" s="29"/>
      <c r="Y537" s="29"/>
      <c r="Z537" s="29"/>
      <c r="AA537" s="29"/>
      <c r="AB537" s="29"/>
      <c r="AC537" s="30"/>
      <c r="AD537" s="31"/>
      <c r="AE537" s="31"/>
      <c r="AF537" s="31"/>
      <c r="AG537" s="31"/>
      <c r="AH537" s="31"/>
      <c r="AI537" s="32"/>
    </row>
    <row r="538" spans="1:35" x14ac:dyDescent="0.25">
      <c r="A538" s="27"/>
      <c r="B538" s="28"/>
      <c r="C538" s="29"/>
      <c r="D538" s="30"/>
      <c r="E538" s="28"/>
      <c r="F538" s="29"/>
      <c r="G538" s="29"/>
      <c r="H538" s="29"/>
      <c r="I538" s="29"/>
      <c r="J538" s="29"/>
      <c r="K538" s="29"/>
      <c r="L538" s="29"/>
      <c r="M538" s="29"/>
      <c r="N538" s="30"/>
      <c r="O538" s="28"/>
      <c r="P538" s="29"/>
      <c r="Q538" s="29" t="s">
        <v>21</v>
      </c>
      <c r="R538" s="29"/>
      <c r="S538" s="29">
        <f>(H536*2)+(M542*3)+(0.5*2)</f>
        <v>5.9600000000000009</v>
      </c>
      <c r="T538" s="29"/>
      <c r="U538" s="29"/>
      <c r="V538" s="29"/>
      <c r="W538" s="29"/>
      <c r="X538" s="29"/>
      <c r="Y538" s="29"/>
      <c r="Z538" s="29"/>
      <c r="AA538" s="29"/>
      <c r="AB538" s="29"/>
      <c r="AC538" s="30"/>
      <c r="AD538" s="31"/>
      <c r="AE538" s="31"/>
      <c r="AF538" s="31"/>
      <c r="AG538" s="31"/>
      <c r="AH538" s="31"/>
      <c r="AI538" s="32"/>
    </row>
    <row r="539" spans="1:35" x14ac:dyDescent="0.25">
      <c r="A539" s="27"/>
      <c r="B539" s="28"/>
      <c r="C539" s="29"/>
      <c r="D539" s="30"/>
      <c r="E539" s="28"/>
      <c r="F539" s="29"/>
      <c r="G539" s="29"/>
      <c r="H539" s="29"/>
      <c r="I539" s="29"/>
      <c r="J539" s="29"/>
      <c r="K539" s="29"/>
      <c r="L539" s="29"/>
      <c r="M539" s="29"/>
      <c r="N539" s="30"/>
      <c r="O539" s="28"/>
      <c r="P539" s="29"/>
      <c r="Q539" s="29" t="s">
        <v>22</v>
      </c>
      <c r="R539" s="29"/>
      <c r="S539" s="58">
        <v>0.12</v>
      </c>
      <c r="T539" s="29"/>
      <c r="U539" s="29"/>
      <c r="V539" s="29"/>
      <c r="W539" s="29"/>
      <c r="X539" s="29"/>
      <c r="Y539" s="29"/>
      <c r="Z539" s="29"/>
      <c r="AA539" s="29"/>
      <c r="AB539" s="29"/>
      <c r="AC539" s="30"/>
      <c r="AD539" s="31"/>
      <c r="AE539" s="31"/>
      <c r="AF539" s="31"/>
      <c r="AG539" s="31"/>
      <c r="AH539" s="31"/>
      <c r="AI539" s="32"/>
    </row>
    <row r="540" spans="1:35" x14ac:dyDescent="0.25">
      <c r="A540" s="27"/>
      <c r="B540" s="28"/>
      <c r="C540" s="29"/>
      <c r="D540" s="30"/>
      <c r="E540" s="28"/>
      <c r="F540" s="29"/>
      <c r="G540" s="29"/>
      <c r="H540" s="29"/>
      <c r="I540" s="29"/>
      <c r="J540" s="29"/>
      <c r="K540" s="29"/>
      <c r="L540" s="29"/>
      <c r="M540" s="29"/>
      <c r="N540" s="30"/>
      <c r="O540" s="28"/>
      <c r="P540" s="29"/>
      <c r="Q540" s="29" t="s">
        <v>209</v>
      </c>
      <c r="R540" s="29"/>
      <c r="S540" s="58">
        <v>0.05</v>
      </c>
      <c r="T540" s="29"/>
      <c r="U540" s="29"/>
      <c r="V540" s="29"/>
      <c r="W540" s="29"/>
      <c r="X540" s="29"/>
      <c r="Y540" s="29"/>
      <c r="Z540" s="29"/>
      <c r="AA540" s="29"/>
      <c r="AB540" s="29"/>
      <c r="AC540" s="30"/>
      <c r="AD540" s="31"/>
      <c r="AE540" s="31"/>
      <c r="AF540" s="31"/>
      <c r="AG540" s="31"/>
      <c r="AH540" s="31"/>
      <c r="AI540" s="32"/>
    </row>
    <row r="541" spans="1:35" x14ac:dyDescent="0.25">
      <c r="A541" s="27"/>
      <c r="B541" s="28"/>
      <c r="C541" s="29"/>
      <c r="D541" s="30"/>
      <c r="E541" s="28"/>
      <c r="F541" s="29"/>
      <c r="G541" s="29"/>
      <c r="H541" s="29"/>
      <c r="I541" s="29"/>
      <c r="J541" s="29"/>
      <c r="K541" s="29"/>
      <c r="L541" s="29"/>
      <c r="M541" s="29"/>
      <c r="N541" s="30"/>
      <c r="O541" s="28"/>
      <c r="P541" s="29"/>
      <c r="Q541" s="29" t="s">
        <v>210</v>
      </c>
      <c r="R541" s="29"/>
      <c r="S541" t="s">
        <v>211</v>
      </c>
      <c r="U541" s="29"/>
      <c r="V541" s="29"/>
      <c r="W541" s="29"/>
      <c r="X541" s="29"/>
      <c r="Y541" s="29"/>
      <c r="Z541" s="29"/>
      <c r="AA541" s="29"/>
      <c r="AB541" s="29"/>
      <c r="AC541" s="30"/>
      <c r="AD541" s="31"/>
      <c r="AE541" s="31"/>
      <c r="AF541" s="31"/>
      <c r="AG541" s="31"/>
      <c r="AH541" s="31"/>
      <c r="AI541" s="32"/>
    </row>
    <row r="542" spans="1:35" x14ac:dyDescent="0.25">
      <c r="A542" s="27"/>
      <c r="B542" s="28"/>
      <c r="C542" s="29"/>
      <c r="D542" s="30"/>
      <c r="E542" s="28"/>
      <c r="F542" s="29"/>
      <c r="G542" s="29"/>
      <c r="H542" s="29"/>
      <c r="I542" s="29"/>
      <c r="J542" s="29"/>
      <c r="K542" s="29"/>
      <c r="L542" s="29"/>
      <c r="M542" s="58">
        <v>0.8</v>
      </c>
      <c r="N542" s="30"/>
      <c r="O542" s="28"/>
      <c r="P542" s="29"/>
      <c r="Q542" s="29"/>
      <c r="R542" s="29"/>
      <c r="S542" s="57">
        <f>(S538*S539*S540)*S537</f>
        <v>3.5760000000000007E-2</v>
      </c>
      <c r="T542" s="29" t="s">
        <v>158</v>
      </c>
      <c r="U542" s="29"/>
      <c r="V542" s="29"/>
      <c r="W542" s="29"/>
      <c r="X542" s="29"/>
      <c r="Y542" s="29"/>
      <c r="Z542" s="29"/>
      <c r="AA542" s="29"/>
      <c r="AB542" s="29"/>
      <c r="AC542" s="30"/>
      <c r="AD542" s="31"/>
      <c r="AE542" s="31"/>
      <c r="AF542" s="31"/>
      <c r="AG542" s="31"/>
      <c r="AH542" s="31"/>
      <c r="AI542" s="32"/>
    </row>
    <row r="543" spans="1:35" x14ac:dyDescent="0.25">
      <c r="A543" s="27"/>
      <c r="B543" s="28"/>
      <c r="C543" s="29"/>
      <c r="D543" s="30"/>
      <c r="E543" s="28"/>
      <c r="F543" s="29"/>
      <c r="G543" s="29"/>
      <c r="H543" s="29"/>
      <c r="I543" s="29"/>
      <c r="J543" s="29"/>
      <c r="K543" s="29"/>
      <c r="L543" s="29"/>
      <c r="M543" s="29"/>
      <c r="N543" s="30"/>
      <c r="O543" s="28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30"/>
      <c r="AD543" s="31"/>
      <c r="AE543" s="31"/>
      <c r="AF543" s="31"/>
      <c r="AG543" s="31"/>
      <c r="AH543" s="31"/>
      <c r="AI543" s="32"/>
    </row>
    <row r="544" spans="1:35" x14ac:dyDescent="0.25">
      <c r="A544" s="27"/>
      <c r="B544" s="28"/>
      <c r="C544" s="29"/>
      <c r="D544" s="30"/>
      <c r="E544" s="28"/>
      <c r="F544" s="29"/>
      <c r="G544" s="29"/>
      <c r="H544" s="29"/>
      <c r="I544" s="29"/>
      <c r="J544" s="29"/>
      <c r="K544" s="29"/>
      <c r="L544" s="29"/>
      <c r="M544" s="29"/>
      <c r="N544" s="30"/>
      <c r="O544" s="28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30"/>
      <c r="AD544" s="31"/>
      <c r="AE544" s="31"/>
      <c r="AF544" s="31"/>
      <c r="AG544" s="31"/>
      <c r="AH544" s="31"/>
      <c r="AI544" s="32"/>
    </row>
    <row r="545" spans="1:35" x14ac:dyDescent="0.25">
      <c r="A545" s="27"/>
      <c r="B545" s="28"/>
      <c r="C545" s="29"/>
      <c r="D545" s="30"/>
      <c r="E545" s="28"/>
      <c r="F545" s="29"/>
      <c r="G545" s="29"/>
      <c r="H545" s="29"/>
      <c r="I545" s="29"/>
      <c r="J545" s="29"/>
      <c r="K545" s="29"/>
      <c r="L545" s="29"/>
      <c r="M545" s="29"/>
      <c r="N545" s="30"/>
      <c r="O545" s="28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30"/>
      <c r="AD545" s="31"/>
      <c r="AE545" s="31"/>
      <c r="AF545" s="31"/>
      <c r="AG545" s="31"/>
      <c r="AH545" s="31"/>
      <c r="AI545" s="32"/>
    </row>
    <row r="546" spans="1:35" x14ac:dyDescent="0.25">
      <c r="A546" s="27"/>
      <c r="B546" s="28"/>
      <c r="C546" s="29"/>
      <c r="D546" s="30"/>
      <c r="E546" s="28"/>
      <c r="F546" s="29"/>
      <c r="G546" s="29"/>
      <c r="H546" s="29"/>
      <c r="I546" s="29"/>
      <c r="J546" s="29"/>
      <c r="K546" s="29"/>
      <c r="L546" s="29"/>
      <c r="M546" s="29"/>
      <c r="N546" s="30"/>
      <c r="O546" s="28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30"/>
      <c r="AD546" s="31"/>
      <c r="AE546" s="31"/>
      <c r="AF546" s="31"/>
      <c r="AG546" s="31"/>
      <c r="AH546" s="31"/>
      <c r="AI546" s="32"/>
    </row>
    <row r="547" spans="1:35" x14ac:dyDescent="0.25">
      <c r="A547" s="27"/>
      <c r="B547" s="28"/>
      <c r="C547" s="29"/>
      <c r="D547" s="30"/>
      <c r="E547" s="28"/>
      <c r="F547" s="29"/>
      <c r="G547" s="29"/>
      <c r="H547" s="29"/>
      <c r="I547" s="29"/>
      <c r="J547" s="29"/>
      <c r="K547" s="29"/>
      <c r="L547" s="29"/>
      <c r="M547" s="29"/>
      <c r="N547" s="30"/>
      <c r="O547" s="28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30"/>
      <c r="AD547" s="31"/>
      <c r="AE547" s="31"/>
      <c r="AF547" s="31"/>
      <c r="AG547" s="31"/>
      <c r="AH547" s="31"/>
      <c r="AI547" s="32"/>
    </row>
    <row r="548" spans="1:35" x14ac:dyDescent="0.25">
      <c r="A548" s="27"/>
      <c r="B548" s="28"/>
      <c r="C548" s="29"/>
      <c r="D548" s="30"/>
      <c r="E548" s="28"/>
      <c r="F548" s="29"/>
      <c r="G548" s="29"/>
      <c r="H548" s="29"/>
      <c r="I548" s="29"/>
      <c r="J548" s="29"/>
      <c r="K548" s="29"/>
      <c r="L548" s="29"/>
      <c r="M548" s="29"/>
      <c r="N548" s="30"/>
      <c r="O548" s="28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30"/>
      <c r="AD548" s="31"/>
      <c r="AE548" s="31"/>
      <c r="AF548" s="31"/>
      <c r="AG548" s="31"/>
      <c r="AH548" s="31"/>
      <c r="AI548" s="32"/>
    </row>
    <row r="549" spans="1:35" x14ac:dyDescent="0.25">
      <c r="A549" s="27"/>
      <c r="B549" s="28"/>
      <c r="C549" s="29"/>
      <c r="D549" s="30"/>
      <c r="E549" s="28"/>
      <c r="F549" s="29"/>
      <c r="G549" s="29"/>
      <c r="H549" s="29"/>
      <c r="I549" s="29"/>
      <c r="J549" s="29"/>
      <c r="K549" s="29"/>
      <c r="L549" s="29"/>
      <c r="M549" s="29"/>
      <c r="N549" s="30"/>
      <c r="O549" s="28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30"/>
      <c r="AD549" s="31"/>
      <c r="AE549" s="31"/>
      <c r="AF549" s="31"/>
      <c r="AG549" s="31"/>
      <c r="AH549" s="31"/>
      <c r="AI549" s="32"/>
    </row>
    <row r="550" spans="1:35" x14ac:dyDescent="0.25">
      <c r="A550" s="27"/>
      <c r="B550" s="28"/>
      <c r="C550" s="29"/>
      <c r="D550" s="30"/>
      <c r="E550" s="28"/>
      <c r="F550" s="29"/>
      <c r="G550" s="29"/>
      <c r="H550" s="29"/>
      <c r="I550" s="29"/>
      <c r="J550" s="29"/>
      <c r="K550" s="29"/>
      <c r="L550" s="29"/>
      <c r="M550" s="29"/>
      <c r="N550" s="30"/>
      <c r="O550" s="28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30"/>
      <c r="AD550" s="31"/>
      <c r="AE550" s="31"/>
      <c r="AF550" s="31"/>
      <c r="AG550" s="31"/>
      <c r="AH550" s="31"/>
      <c r="AI550" s="32"/>
    </row>
    <row r="551" spans="1:35" x14ac:dyDescent="0.25">
      <c r="A551" s="27"/>
      <c r="B551" s="28"/>
      <c r="C551" s="29"/>
      <c r="D551" s="30"/>
      <c r="E551" s="28"/>
      <c r="F551" s="29"/>
      <c r="G551" s="29"/>
      <c r="H551" s="58">
        <v>0.9</v>
      </c>
      <c r="I551" s="29"/>
      <c r="J551" s="29"/>
      <c r="K551" s="29"/>
      <c r="L551" s="29"/>
      <c r="M551" s="29"/>
      <c r="N551" s="30"/>
      <c r="O551" s="28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30"/>
      <c r="AD551" s="31"/>
      <c r="AE551" s="31"/>
      <c r="AF551" s="31"/>
      <c r="AG551" s="31"/>
      <c r="AH551" s="31"/>
      <c r="AI551" s="32"/>
    </row>
    <row r="552" spans="1:35" x14ac:dyDescent="0.25">
      <c r="A552" s="27"/>
      <c r="B552" s="28"/>
      <c r="C552" s="29"/>
      <c r="D552" s="30"/>
      <c r="E552" s="28"/>
      <c r="F552" s="29"/>
      <c r="G552" s="29"/>
      <c r="H552" s="29"/>
      <c r="I552" s="29"/>
      <c r="J552" s="29"/>
      <c r="K552" s="29"/>
      <c r="L552" s="29"/>
      <c r="M552" s="29"/>
      <c r="N552" s="30"/>
      <c r="O552" s="28"/>
      <c r="P552" s="29" t="s">
        <v>217</v>
      </c>
      <c r="Q552" s="29" t="s">
        <v>218</v>
      </c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30"/>
      <c r="AD552" s="31"/>
      <c r="AE552" s="31"/>
      <c r="AF552" s="31"/>
      <c r="AG552" s="31"/>
      <c r="AH552" s="31"/>
      <c r="AI552" s="32"/>
    </row>
    <row r="553" spans="1:35" x14ac:dyDescent="0.25">
      <c r="A553" s="27"/>
      <c r="B553" s="28"/>
      <c r="C553" s="29"/>
      <c r="D553" s="30"/>
      <c r="E553" s="28"/>
      <c r="F553" s="29"/>
      <c r="G553" s="29"/>
      <c r="H553" s="29"/>
      <c r="I553" s="29"/>
      <c r="J553" s="29"/>
      <c r="K553" s="29"/>
      <c r="L553" s="29"/>
      <c r="M553" s="29"/>
      <c r="N553" s="30"/>
      <c r="O553" s="28"/>
      <c r="P553" s="29"/>
      <c r="Q553" s="29" t="s">
        <v>208</v>
      </c>
      <c r="R553" s="29"/>
      <c r="S553" s="58">
        <v>4</v>
      </c>
      <c r="T553" s="29"/>
      <c r="U553" s="29"/>
      <c r="V553" s="29"/>
      <c r="W553" s="29"/>
      <c r="X553" s="29"/>
      <c r="Y553" s="29"/>
      <c r="Z553" s="29"/>
      <c r="AA553" s="29"/>
      <c r="AB553" s="29"/>
      <c r="AC553" s="30"/>
      <c r="AD553" s="31"/>
      <c r="AE553" s="31"/>
      <c r="AF553" s="31"/>
      <c r="AG553" s="31"/>
      <c r="AH553" s="31"/>
      <c r="AI553" s="32"/>
    </row>
    <row r="554" spans="1:35" x14ac:dyDescent="0.25">
      <c r="A554" s="27"/>
      <c r="B554" s="28"/>
      <c r="C554" s="29"/>
      <c r="D554" s="30"/>
      <c r="E554" s="28"/>
      <c r="F554" s="29"/>
      <c r="G554" s="29"/>
      <c r="H554" s="29"/>
      <c r="I554" s="29"/>
      <c r="J554" s="29"/>
      <c r="K554" s="29"/>
      <c r="L554" s="29"/>
      <c r="M554" s="29"/>
      <c r="N554" s="30"/>
      <c r="O554" s="28"/>
      <c r="P554" s="29"/>
      <c r="Q554" s="29" t="s">
        <v>21</v>
      </c>
      <c r="R554" s="29"/>
      <c r="S554" s="29">
        <f>(H551*2)+(K555*4)</f>
        <v>2.4</v>
      </c>
      <c r="T554" s="29"/>
      <c r="U554" s="29"/>
      <c r="V554" s="29"/>
      <c r="W554" s="29"/>
      <c r="X554" s="29"/>
      <c r="Y554" s="29"/>
      <c r="Z554" s="29"/>
      <c r="AA554" s="29"/>
      <c r="AB554" s="29"/>
      <c r="AC554" s="30"/>
      <c r="AD554" s="31"/>
      <c r="AE554" s="31"/>
      <c r="AF554" s="31"/>
      <c r="AG554" s="31"/>
      <c r="AH554" s="31"/>
      <c r="AI554" s="32"/>
    </row>
    <row r="555" spans="1:35" x14ac:dyDescent="0.25">
      <c r="A555" s="27"/>
      <c r="B555" s="28"/>
      <c r="C555" s="29"/>
      <c r="D555" s="30"/>
      <c r="E555" s="28"/>
      <c r="F555" s="29"/>
      <c r="G555" s="29"/>
      <c r="H555" s="29"/>
      <c r="I555" s="29"/>
      <c r="J555" s="29"/>
      <c r="K555" s="58">
        <v>0.15</v>
      </c>
      <c r="L555" s="29"/>
      <c r="M555" s="29"/>
      <c r="N555" s="30"/>
      <c r="O555" s="28"/>
      <c r="P555" s="29"/>
      <c r="Q555" s="29" t="s">
        <v>22</v>
      </c>
      <c r="R555" s="29"/>
      <c r="S555" s="58">
        <v>0.12</v>
      </c>
      <c r="T555" s="29"/>
      <c r="U555" s="29"/>
      <c r="V555" s="29"/>
      <c r="W555" s="29"/>
      <c r="X555" s="29"/>
      <c r="Y555" s="29"/>
      <c r="Z555" s="29"/>
      <c r="AA555" s="29"/>
      <c r="AB555" s="29"/>
      <c r="AC555" s="30"/>
      <c r="AD555" s="31"/>
      <c r="AE555" s="31"/>
      <c r="AF555" s="31"/>
      <c r="AG555" s="31"/>
      <c r="AH555" s="31"/>
      <c r="AI555" s="32"/>
    </row>
    <row r="556" spans="1:35" x14ac:dyDescent="0.25">
      <c r="A556" s="27"/>
      <c r="B556" s="28"/>
      <c r="C556" s="29"/>
      <c r="D556" s="30"/>
      <c r="E556" s="28"/>
      <c r="F556" s="29"/>
      <c r="G556" s="29"/>
      <c r="H556" s="29"/>
      <c r="I556" s="29"/>
      <c r="J556" s="29"/>
      <c r="K556" s="29"/>
      <c r="L556" s="29"/>
      <c r="M556" s="29"/>
      <c r="N556" s="30"/>
      <c r="O556" s="28"/>
      <c r="P556" s="29"/>
      <c r="Q556" s="29" t="s">
        <v>209</v>
      </c>
      <c r="R556" s="29"/>
      <c r="S556" s="58">
        <v>0.05</v>
      </c>
      <c r="T556" s="29"/>
      <c r="U556" s="29"/>
      <c r="V556" s="29"/>
      <c r="W556" s="29"/>
      <c r="X556" s="29"/>
      <c r="Y556" s="29"/>
      <c r="Z556" s="29"/>
      <c r="AA556" s="29"/>
      <c r="AB556" s="29"/>
      <c r="AC556" s="30"/>
      <c r="AD556" s="31"/>
      <c r="AE556" s="31"/>
      <c r="AF556" s="31"/>
      <c r="AG556" s="31"/>
      <c r="AH556" s="31"/>
      <c r="AI556" s="32"/>
    </row>
    <row r="557" spans="1:35" x14ac:dyDescent="0.25">
      <c r="A557" s="27"/>
      <c r="B557" s="28"/>
      <c r="C557" s="29"/>
      <c r="D557" s="30"/>
      <c r="E557" s="28"/>
      <c r="F557" s="29"/>
      <c r="G557" s="29"/>
      <c r="H557" s="29"/>
      <c r="I557" s="29"/>
      <c r="J557" s="29"/>
      <c r="K557" s="29"/>
      <c r="L557" s="29"/>
      <c r="M557" s="29"/>
      <c r="N557" s="30"/>
      <c r="O557" s="28"/>
      <c r="P557" s="29"/>
      <c r="Q557" s="29" t="s">
        <v>210</v>
      </c>
      <c r="R557" s="29"/>
      <c r="S557" t="s">
        <v>211</v>
      </c>
      <c r="U557" s="29"/>
      <c r="V557" s="29"/>
      <c r="W557" s="29"/>
      <c r="X557" s="29"/>
      <c r="Y557" s="29"/>
      <c r="Z557" s="29"/>
      <c r="AA557" s="29"/>
      <c r="AB557" s="29"/>
      <c r="AC557" s="30"/>
      <c r="AD557" s="31"/>
      <c r="AE557" s="31"/>
      <c r="AF557" s="31"/>
      <c r="AG557" s="31"/>
      <c r="AH557" s="31"/>
      <c r="AI557" s="32"/>
    </row>
    <row r="558" spans="1:35" x14ac:dyDescent="0.25">
      <c r="A558" s="27"/>
      <c r="B558" s="28"/>
      <c r="C558" s="29"/>
      <c r="D558" s="30"/>
      <c r="E558" s="28"/>
      <c r="F558" s="29"/>
      <c r="G558" s="29"/>
      <c r="H558" s="29"/>
      <c r="I558" s="29"/>
      <c r="J558" s="29"/>
      <c r="K558" s="29"/>
      <c r="L558" s="29"/>
      <c r="M558" s="29"/>
      <c r="N558" s="30"/>
      <c r="O558" s="28"/>
      <c r="P558" s="29"/>
      <c r="Q558" s="29"/>
      <c r="R558" s="29"/>
      <c r="S558" s="57">
        <f>(S554*S555*S556)*S553</f>
        <v>5.7599999999999998E-2</v>
      </c>
      <c r="T558" s="29" t="s">
        <v>158</v>
      </c>
      <c r="U558" s="29"/>
      <c r="V558" s="29"/>
      <c r="W558" s="29"/>
      <c r="X558" s="29"/>
      <c r="Y558" s="29"/>
      <c r="Z558" s="29"/>
      <c r="AA558" s="29"/>
      <c r="AB558" s="29"/>
      <c r="AC558" s="30"/>
      <c r="AD558" s="31"/>
      <c r="AE558" s="31"/>
      <c r="AF558" s="31"/>
      <c r="AG558" s="31"/>
      <c r="AH558" s="31"/>
      <c r="AI558" s="32"/>
    </row>
    <row r="559" spans="1:35" x14ac:dyDescent="0.25">
      <c r="A559" s="27"/>
      <c r="B559" s="28"/>
      <c r="C559" s="29"/>
      <c r="D559" s="30"/>
      <c r="E559" s="28"/>
      <c r="F559" s="29"/>
      <c r="G559" s="29"/>
      <c r="H559" s="29"/>
      <c r="I559" s="29"/>
      <c r="J559" s="29"/>
      <c r="K559" s="29"/>
      <c r="L559" s="29"/>
      <c r="M559" s="29"/>
      <c r="N559" s="30"/>
      <c r="O559" s="28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30"/>
      <c r="AD559" s="31"/>
      <c r="AE559" s="31"/>
      <c r="AF559" s="31"/>
      <c r="AG559" s="31"/>
      <c r="AH559" s="31"/>
      <c r="AI559" s="32"/>
    </row>
    <row r="560" spans="1:35" x14ac:dyDescent="0.25">
      <c r="A560" s="27"/>
      <c r="B560" s="28"/>
      <c r="C560" s="29"/>
      <c r="D560" s="30"/>
      <c r="E560" s="28"/>
      <c r="F560" s="29"/>
      <c r="G560" s="29"/>
      <c r="H560" s="29"/>
      <c r="I560" s="29"/>
      <c r="J560" s="29"/>
      <c r="K560" s="29"/>
      <c r="L560" s="29"/>
      <c r="M560" s="29"/>
      <c r="N560" s="30"/>
      <c r="O560" s="28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30"/>
      <c r="AD560" s="31"/>
      <c r="AE560" s="31"/>
      <c r="AF560" s="31"/>
      <c r="AG560" s="31"/>
      <c r="AH560" s="31"/>
      <c r="AI560" s="32"/>
    </row>
    <row r="561" spans="1:35" x14ac:dyDescent="0.25">
      <c r="A561" s="27"/>
      <c r="B561" s="28"/>
      <c r="C561" s="29"/>
      <c r="D561" s="30"/>
      <c r="E561" s="28"/>
      <c r="F561" s="29"/>
      <c r="G561" s="29"/>
      <c r="H561" s="29"/>
      <c r="I561" s="29"/>
      <c r="J561" s="29"/>
      <c r="K561" s="29"/>
      <c r="L561" s="29"/>
      <c r="M561" s="29"/>
      <c r="N561" s="30"/>
      <c r="O561" s="28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30"/>
      <c r="AD561" s="31"/>
      <c r="AE561" s="31"/>
      <c r="AF561" s="31"/>
      <c r="AG561" s="31"/>
      <c r="AH561" s="31"/>
      <c r="AI561" s="32"/>
    </row>
    <row r="562" spans="1:35" x14ac:dyDescent="0.25">
      <c r="A562" s="27"/>
      <c r="B562" s="28"/>
      <c r="C562" s="29"/>
      <c r="D562" s="30"/>
      <c r="E562" s="28"/>
      <c r="F562" s="29"/>
      <c r="G562" s="29"/>
      <c r="H562" s="58">
        <v>0.7</v>
      </c>
      <c r="I562" s="29"/>
      <c r="J562" s="29"/>
      <c r="K562" s="29"/>
      <c r="L562" s="29"/>
      <c r="M562" s="29"/>
      <c r="N562" s="30"/>
      <c r="O562" s="28"/>
      <c r="P562" s="29" t="s">
        <v>219</v>
      </c>
      <c r="Q562" s="29" t="s">
        <v>220</v>
      </c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30"/>
      <c r="AD562" s="31"/>
      <c r="AE562" s="31"/>
      <c r="AF562" s="31"/>
      <c r="AG562" s="31"/>
      <c r="AH562" s="31"/>
      <c r="AI562" s="32"/>
    </row>
    <row r="563" spans="1:35" x14ac:dyDescent="0.25">
      <c r="A563" s="27"/>
      <c r="B563" s="28"/>
      <c r="C563" s="29"/>
      <c r="D563" s="30"/>
      <c r="E563" s="28"/>
      <c r="F563" s="29"/>
      <c r="G563" s="29"/>
      <c r="H563" s="29"/>
      <c r="I563" s="29"/>
      <c r="J563" s="29"/>
      <c r="K563" s="29"/>
      <c r="L563" s="29"/>
      <c r="M563" s="29"/>
      <c r="N563" s="30"/>
      <c r="O563" s="28"/>
      <c r="P563" s="29"/>
      <c r="Q563" s="29" t="s">
        <v>208</v>
      </c>
      <c r="R563" s="29"/>
      <c r="S563" s="58">
        <v>3</v>
      </c>
      <c r="T563" s="29"/>
      <c r="U563" s="29"/>
      <c r="V563" s="29"/>
      <c r="W563" s="29"/>
      <c r="X563" s="29"/>
      <c r="Y563" s="29"/>
      <c r="Z563" s="29"/>
      <c r="AA563" s="29"/>
      <c r="AB563" s="29"/>
      <c r="AC563" s="30"/>
      <c r="AD563" s="31"/>
      <c r="AE563" s="31"/>
      <c r="AF563" s="31"/>
      <c r="AG563" s="31"/>
      <c r="AH563" s="31"/>
      <c r="AI563" s="32"/>
    </row>
    <row r="564" spans="1:35" x14ac:dyDescent="0.25">
      <c r="A564" s="27"/>
      <c r="B564" s="28"/>
      <c r="C564" s="29"/>
      <c r="D564" s="30"/>
      <c r="E564" s="28"/>
      <c r="F564" s="29"/>
      <c r="G564" s="29"/>
      <c r="H564" s="29"/>
      <c r="I564" s="29"/>
      <c r="J564" s="29"/>
      <c r="K564" s="29"/>
      <c r="L564" s="29"/>
      <c r="M564" s="29"/>
      <c r="N564" s="30"/>
      <c r="O564" s="28"/>
      <c r="P564" s="29"/>
      <c r="Q564" s="29" t="s">
        <v>21</v>
      </c>
      <c r="R564" s="29"/>
      <c r="S564" s="29">
        <f>(H562*2)+(K565*4)</f>
        <v>2</v>
      </c>
      <c r="T564" s="29"/>
      <c r="U564" s="29"/>
      <c r="V564" s="29"/>
      <c r="W564" s="29"/>
      <c r="X564" s="29"/>
      <c r="Y564" s="29"/>
      <c r="Z564" s="29"/>
      <c r="AA564" s="29"/>
      <c r="AB564" s="29"/>
      <c r="AC564" s="30"/>
      <c r="AD564" s="31"/>
      <c r="AE564" s="31"/>
      <c r="AF564" s="31"/>
      <c r="AG564" s="31"/>
      <c r="AH564" s="31"/>
      <c r="AI564" s="32"/>
    </row>
    <row r="565" spans="1:35" x14ac:dyDescent="0.25">
      <c r="A565" s="27"/>
      <c r="B565" s="28"/>
      <c r="C565" s="29"/>
      <c r="D565" s="30"/>
      <c r="E565" s="28"/>
      <c r="F565" s="29"/>
      <c r="G565" s="29"/>
      <c r="H565" s="29"/>
      <c r="I565" s="29"/>
      <c r="J565" s="29"/>
      <c r="K565" s="58">
        <v>0.15</v>
      </c>
      <c r="L565" s="29"/>
      <c r="M565" s="29"/>
      <c r="N565" s="30"/>
      <c r="O565" s="28"/>
      <c r="P565" s="29"/>
      <c r="Q565" s="29" t="s">
        <v>22</v>
      </c>
      <c r="R565" s="29"/>
      <c r="S565" s="58">
        <v>0.12</v>
      </c>
      <c r="T565" s="29"/>
      <c r="U565" s="29"/>
      <c r="V565" s="29"/>
      <c r="W565" s="29"/>
      <c r="X565" s="29"/>
      <c r="Y565" s="29"/>
      <c r="Z565" s="29"/>
      <c r="AA565" s="29"/>
      <c r="AB565" s="29"/>
      <c r="AC565" s="30"/>
      <c r="AD565" s="31"/>
      <c r="AE565" s="31"/>
      <c r="AF565" s="31"/>
      <c r="AG565" s="31"/>
      <c r="AH565" s="31"/>
      <c r="AI565" s="32"/>
    </row>
    <row r="566" spans="1:35" x14ac:dyDescent="0.25">
      <c r="A566" s="27"/>
      <c r="B566" s="28"/>
      <c r="C566" s="29"/>
      <c r="D566" s="30"/>
      <c r="E566" s="28"/>
      <c r="F566" s="29"/>
      <c r="G566" s="29"/>
      <c r="H566" s="29"/>
      <c r="I566" s="29"/>
      <c r="J566" s="29"/>
      <c r="K566" s="29"/>
      <c r="L566" s="29"/>
      <c r="M566" s="29"/>
      <c r="N566" s="30"/>
      <c r="O566" s="28"/>
      <c r="P566" s="29"/>
      <c r="Q566" s="29" t="s">
        <v>209</v>
      </c>
      <c r="R566" s="29"/>
      <c r="S566" s="58">
        <v>0.05</v>
      </c>
      <c r="T566" s="29"/>
      <c r="U566" s="29"/>
      <c r="V566" s="29"/>
      <c r="W566" s="29"/>
      <c r="X566" s="29"/>
      <c r="Y566" s="29"/>
      <c r="Z566" s="29"/>
      <c r="AA566" s="29"/>
      <c r="AB566" s="29"/>
      <c r="AC566" s="30"/>
      <c r="AD566" s="31"/>
      <c r="AE566" s="31"/>
      <c r="AF566" s="31"/>
      <c r="AG566" s="31"/>
      <c r="AH566" s="31"/>
      <c r="AI566" s="32"/>
    </row>
    <row r="567" spans="1:35" x14ac:dyDescent="0.25">
      <c r="A567" s="27"/>
      <c r="B567" s="28"/>
      <c r="C567" s="29"/>
      <c r="D567" s="30"/>
      <c r="E567" s="28"/>
      <c r="F567" s="29"/>
      <c r="G567" s="29"/>
      <c r="H567" s="29"/>
      <c r="I567" s="29"/>
      <c r="J567" s="29"/>
      <c r="K567" s="29"/>
      <c r="L567" s="29"/>
      <c r="M567" s="29"/>
      <c r="N567" s="30"/>
      <c r="O567" s="28"/>
      <c r="P567" s="29"/>
      <c r="Q567" s="29" t="s">
        <v>210</v>
      </c>
      <c r="R567" s="29"/>
      <c r="S567" t="s">
        <v>211</v>
      </c>
      <c r="U567" s="29"/>
      <c r="V567" s="29"/>
      <c r="W567" s="29"/>
      <c r="X567" s="29"/>
      <c r="Y567" s="29"/>
      <c r="Z567" s="29"/>
      <c r="AA567" s="29"/>
      <c r="AB567" s="29"/>
      <c r="AC567" s="30"/>
      <c r="AD567" s="31"/>
      <c r="AE567" s="31"/>
      <c r="AF567" s="31"/>
      <c r="AG567" s="31"/>
      <c r="AH567" s="31"/>
      <c r="AI567" s="32"/>
    </row>
    <row r="568" spans="1:35" x14ac:dyDescent="0.25">
      <c r="A568" s="27"/>
      <c r="B568" s="28"/>
      <c r="C568" s="29"/>
      <c r="D568" s="30"/>
      <c r="E568" s="28"/>
      <c r="F568" s="29"/>
      <c r="G568" s="29"/>
      <c r="H568" s="29"/>
      <c r="I568" s="29"/>
      <c r="J568" s="29"/>
      <c r="K568" s="29"/>
      <c r="L568" s="29"/>
      <c r="M568" s="29"/>
      <c r="N568" s="30"/>
      <c r="O568" s="28"/>
      <c r="P568" s="29"/>
      <c r="Q568" s="29"/>
      <c r="R568" s="29"/>
      <c r="S568" s="57">
        <f>(S564*S565*S566)*S563</f>
        <v>3.6000000000000004E-2</v>
      </c>
      <c r="T568" s="29" t="s">
        <v>158</v>
      </c>
      <c r="U568" s="29"/>
      <c r="V568" s="29"/>
      <c r="W568" s="29"/>
      <c r="X568" s="29"/>
      <c r="Y568" s="29"/>
      <c r="Z568" s="29"/>
      <c r="AA568" s="29"/>
      <c r="AB568" s="29"/>
      <c r="AC568" s="30"/>
      <c r="AD568" s="31"/>
      <c r="AE568" s="31"/>
      <c r="AF568" s="31"/>
      <c r="AG568" s="31"/>
      <c r="AH568" s="31"/>
      <c r="AI568" s="32"/>
    </row>
    <row r="569" spans="1:35" x14ac:dyDescent="0.25">
      <c r="A569" s="27"/>
      <c r="B569" s="28"/>
      <c r="C569" s="29"/>
      <c r="D569" s="30"/>
      <c r="E569" s="28"/>
      <c r="F569" s="29"/>
      <c r="G569" s="29"/>
      <c r="H569" s="29"/>
      <c r="I569" s="29"/>
      <c r="J569" s="29"/>
      <c r="K569" s="29"/>
      <c r="L569" s="29"/>
      <c r="M569" s="29"/>
      <c r="N569" s="30"/>
      <c r="O569" s="28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30"/>
      <c r="AD569" s="31"/>
      <c r="AE569" s="31"/>
      <c r="AF569" s="31"/>
      <c r="AG569" s="31"/>
      <c r="AH569" s="31"/>
      <c r="AI569" s="32"/>
    </row>
    <row r="570" spans="1:35" x14ac:dyDescent="0.25">
      <c r="A570" s="27"/>
      <c r="B570" s="28"/>
      <c r="C570" s="29"/>
      <c r="D570" s="30"/>
      <c r="E570" s="28"/>
      <c r="F570" s="29"/>
      <c r="G570" s="29"/>
      <c r="H570" s="29"/>
      <c r="I570" s="29"/>
      <c r="J570" s="29"/>
      <c r="K570" s="29"/>
      <c r="L570" s="29"/>
      <c r="M570" s="29"/>
      <c r="N570" s="30"/>
      <c r="O570" s="28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30"/>
      <c r="AD570" s="31"/>
      <c r="AE570" s="31"/>
      <c r="AF570" s="31"/>
      <c r="AG570" s="31"/>
      <c r="AH570" s="31"/>
      <c r="AI570" s="32"/>
    </row>
    <row r="571" spans="1:35" x14ac:dyDescent="0.25">
      <c r="A571" s="27"/>
      <c r="B571" s="28"/>
      <c r="C571" s="29"/>
      <c r="D571" s="30"/>
      <c r="E571" s="28"/>
      <c r="F571" s="29"/>
      <c r="G571" s="29"/>
      <c r="H571" s="29"/>
      <c r="I571" s="29"/>
      <c r="J571" s="29"/>
      <c r="K571" s="29"/>
      <c r="L571" s="29"/>
      <c r="M571" s="29"/>
      <c r="N571" s="30"/>
      <c r="O571" s="28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30"/>
      <c r="AD571" s="31"/>
      <c r="AE571" s="31"/>
      <c r="AF571" s="31"/>
      <c r="AG571" s="31"/>
      <c r="AH571" s="31"/>
      <c r="AI571" s="32"/>
    </row>
    <row r="572" spans="1:35" x14ac:dyDescent="0.25">
      <c r="A572" s="27"/>
      <c r="B572" s="28"/>
      <c r="C572" s="29"/>
      <c r="D572" s="30"/>
      <c r="E572" s="28"/>
      <c r="F572" s="29"/>
      <c r="G572" s="29"/>
      <c r="H572" s="29"/>
      <c r="I572" s="29"/>
      <c r="J572" s="29"/>
      <c r="K572" s="29"/>
      <c r="L572" s="29"/>
      <c r="M572" s="29"/>
      <c r="N572" s="30"/>
      <c r="O572" s="28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30"/>
      <c r="AD572" s="31"/>
      <c r="AE572" s="31"/>
      <c r="AF572" s="31"/>
      <c r="AG572" s="31"/>
      <c r="AH572" s="31"/>
      <c r="AI572" s="32"/>
    </row>
    <row r="573" spans="1:35" x14ac:dyDescent="0.25">
      <c r="A573" s="27"/>
      <c r="B573" s="28"/>
      <c r="C573" s="29"/>
      <c r="D573" s="30"/>
      <c r="E573" s="28"/>
      <c r="F573" s="29"/>
      <c r="G573" s="29"/>
      <c r="H573" s="29"/>
      <c r="I573" s="29"/>
      <c r="J573" s="29"/>
      <c r="K573" s="29"/>
      <c r="L573" s="29"/>
      <c r="M573" s="29"/>
      <c r="N573" s="30"/>
      <c r="O573" s="28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30"/>
      <c r="AD573" s="31"/>
      <c r="AE573" s="31"/>
      <c r="AF573" s="31"/>
      <c r="AG573" s="31"/>
      <c r="AH573" s="31"/>
      <c r="AI573" s="32"/>
    </row>
    <row r="574" spans="1:35" x14ac:dyDescent="0.25">
      <c r="A574" s="27"/>
      <c r="B574" s="28"/>
      <c r="C574" s="29"/>
      <c r="D574" s="30"/>
      <c r="E574" s="28"/>
      <c r="F574" s="29"/>
      <c r="G574" s="29"/>
      <c r="H574" s="58">
        <v>1.08</v>
      </c>
      <c r="I574" s="29"/>
      <c r="J574" s="29"/>
      <c r="K574" s="29"/>
      <c r="L574" s="29"/>
      <c r="M574" s="29"/>
      <c r="N574" s="30"/>
      <c r="O574" s="28"/>
      <c r="P574" s="29" t="s">
        <v>219</v>
      </c>
      <c r="Q574" s="29" t="s">
        <v>220</v>
      </c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30"/>
      <c r="AD574" s="31"/>
      <c r="AE574" s="31"/>
      <c r="AF574" s="31"/>
      <c r="AG574" s="31"/>
      <c r="AH574" s="31"/>
      <c r="AI574" s="32"/>
    </row>
    <row r="575" spans="1:35" x14ac:dyDescent="0.25">
      <c r="A575" s="27"/>
      <c r="B575" s="28"/>
      <c r="C575" s="29"/>
      <c r="D575" s="30"/>
      <c r="E575" s="28"/>
      <c r="F575" s="29"/>
      <c r="G575" s="29"/>
      <c r="H575" s="29"/>
      <c r="I575" s="29"/>
      <c r="J575" s="29"/>
      <c r="K575" s="29"/>
      <c r="L575" s="29"/>
      <c r="M575" s="29"/>
      <c r="N575" s="30"/>
      <c r="O575" s="28"/>
      <c r="P575" s="29"/>
      <c r="Q575" s="29" t="s">
        <v>208</v>
      </c>
      <c r="R575" s="29"/>
      <c r="S575" s="58">
        <v>1</v>
      </c>
      <c r="T575" s="29"/>
      <c r="U575" s="29"/>
      <c r="V575" s="29"/>
      <c r="W575" s="29"/>
      <c r="X575" s="29"/>
      <c r="Y575" s="29"/>
      <c r="Z575" s="29"/>
      <c r="AA575" s="29"/>
      <c r="AB575" s="29"/>
      <c r="AC575" s="30"/>
      <c r="AD575" s="31"/>
      <c r="AE575" s="31"/>
      <c r="AF575" s="31"/>
      <c r="AG575" s="31"/>
      <c r="AH575" s="31"/>
      <c r="AI575" s="32"/>
    </row>
    <row r="576" spans="1:35" x14ac:dyDescent="0.25">
      <c r="A576" s="27"/>
      <c r="B576" s="28"/>
      <c r="C576" s="29"/>
      <c r="D576" s="30"/>
      <c r="E576" s="28"/>
      <c r="F576" s="29"/>
      <c r="G576" s="29"/>
      <c r="H576" s="29"/>
      <c r="I576" s="29"/>
      <c r="J576" s="29"/>
      <c r="K576" s="29"/>
      <c r="L576" s="29"/>
      <c r="M576" s="29"/>
      <c r="N576" s="30"/>
      <c r="O576" s="28"/>
      <c r="P576" s="29"/>
      <c r="Q576" s="29" t="s">
        <v>21</v>
      </c>
      <c r="R576" s="29"/>
      <c r="S576" s="29">
        <f>(H574*2)+(K578*4)</f>
        <v>2.7600000000000002</v>
      </c>
      <c r="T576" s="29"/>
      <c r="U576" s="29"/>
      <c r="V576" s="29"/>
      <c r="W576" s="29"/>
      <c r="X576" s="29"/>
      <c r="Y576" s="29"/>
      <c r="Z576" s="29"/>
      <c r="AA576" s="29"/>
      <c r="AB576" s="29"/>
      <c r="AC576" s="30"/>
      <c r="AD576" s="31"/>
      <c r="AE576" s="31"/>
      <c r="AF576" s="31"/>
      <c r="AG576" s="31"/>
      <c r="AH576" s="31"/>
      <c r="AI576" s="32"/>
    </row>
    <row r="577" spans="1:35" x14ac:dyDescent="0.25">
      <c r="A577" s="27"/>
      <c r="B577" s="28"/>
      <c r="C577" s="29"/>
      <c r="D577" s="30"/>
      <c r="E577" s="28"/>
      <c r="F577" s="29"/>
      <c r="G577" s="29"/>
      <c r="H577" s="29"/>
      <c r="I577" s="29"/>
      <c r="J577" s="29"/>
      <c r="K577" s="29"/>
      <c r="L577" s="29"/>
      <c r="M577" s="29"/>
      <c r="N577" s="30"/>
      <c r="O577" s="28"/>
      <c r="P577" s="29"/>
      <c r="Q577" s="29" t="s">
        <v>22</v>
      </c>
      <c r="R577" s="29"/>
      <c r="S577" s="58">
        <v>0.12</v>
      </c>
      <c r="T577" s="29"/>
      <c r="U577" s="29"/>
      <c r="V577" s="29"/>
      <c r="W577" s="29"/>
      <c r="X577" s="29"/>
      <c r="Y577" s="29"/>
      <c r="Z577" s="29"/>
      <c r="AA577" s="29"/>
      <c r="AB577" s="29"/>
      <c r="AC577" s="30"/>
      <c r="AD577" s="31"/>
      <c r="AE577" s="31"/>
      <c r="AF577" s="31"/>
      <c r="AG577" s="31"/>
      <c r="AH577" s="31"/>
      <c r="AI577" s="32"/>
    </row>
    <row r="578" spans="1:35" x14ac:dyDescent="0.25">
      <c r="A578" s="27"/>
      <c r="B578" s="28"/>
      <c r="C578" s="29"/>
      <c r="D578" s="30"/>
      <c r="E578" s="28"/>
      <c r="F578" s="29"/>
      <c r="G578" s="29"/>
      <c r="H578" s="29"/>
      <c r="I578" s="29"/>
      <c r="J578" s="29"/>
      <c r="K578" s="58">
        <v>0.15</v>
      </c>
      <c r="L578" s="29"/>
      <c r="M578" s="29"/>
      <c r="N578" s="30"/>
      <c r="O578" s="28"/>
      <c r="P578" s="29"/>
      <c r="Q578" s="29" t="s">
        <v>209</v>
      </c>
      <c r="R578" s="29"/>
      <c r="S578" s="58">
        <v>0.05</v>
      </c>
      <c r="T578" s="29"/>
      <c r="U578" s="29"/>
      <c r="V578" s="29"/>
      <c r="W578" s="29"/>
      <c r="X578" s="29"/>
      <c r="Y578" s="29"/>
      <c r="Z578" s="29"/>
      <c r="AA578" s="29"/>
      <c r="AB578" s="29"/>
      <c r="AC578" s="30"/>
      <c r="AD578" s="31"/>
      <c r="AE578" s="31"/>
      <c r="AF578" s="31"/>
      <c r="AG578" s="31"/>
      <c r="AH578" s="31"/>
      <c r="AI578" s="32"/>
    </row>
    <row r="579" spans="1:35" x14ac:dyDescent="0.25">
      <c r="A579" s="27"/>
      <c r="B579" s="28"/>
      <c r="C579" s="29"/>
      <c r="D579" s="30"/>
      <c r="E579" s="28"/>
      <c r="F579" s="29"/>
      <c r="G579" s="29"/>
      <c r="H579" s="29"/>
      <c r="I579" s="29"/>
      <c r="J579" s="29"/>
      <c r="K579" s="29"/>
      <c r="L579" s="29"/>
      <c r="M579" s="29"/>
      <c r="N579" s="30"/>
      <c r="O579" s="28"/>
      <c r="P579" s="29"/>
      <c r="Q579" s="29" t="s">
        <v>210</v>
      </c>
      <c r="R579" s="29"/>
      <c r="S579" t="s">
        <v>211</v>
      </c>
      <c r="U579" s="29"/>
      <c r="V579" s="29"/>
      <c r="W579" s="29"/>
      <c r="X579" s="29"/>
      <c r="Y579" s="29"/>
      <c r="Z579" s="29"/>
      <c r="AA579" s="29"/>
      <c r="AB579" s="29"/>
      <c r="AC579" s="30"/>
      <c r="AD579" s="31"/>
      <c r="AE579" s="31"/>
      <c r="AF579" s="31"/>
      <c r="AG579" s="31"/>
      <c r="AH579" s="31"/>
      <c r="AI579" s="32"/>
    </row>
    <row r="580" spans="1:35" x14ac:dyDescent="0.25">
      <c r="A580" s="27"/>
      <c r="B580" s="28"/>
      <c r="C580" s="29"/>
      <c r="D580" s="30"/>
      <c r="E580" s="28"/>
      <c r="F580" s="29"/>
      <c r="G580" s="29"/>
      <c r="H580" s="29"/>
      <c r="I580" s="29"/>
      <c r="J580" s="29"/>
      <c r="K580" s="29"/>
      <c r="L580" s="29"/>
      <c r="M580" s="29"/>
      <c r="N580" s="30"/>
      <c r="O580" s="28"/>
      <c r="P580" s="29"/>
      <c r="Q580" s="29"/>
      <c r="R580" s="29"/>
      <c r="S580" s="57">
        <f>(S576*S577*S578)*S575</f>
        <v>1.6560000000000002E-2</v>
      </c>
      <c r="T580" s="29" t="s">
        <v>158</v>
      </c>
      <c r="U580" s="29"/>
      <c r="V580" s="29"/>
      <c r="W580" s="29"/>
      <c r="X580" s="29"/>
      <c r="Y580" s="29"/>
      <c r="Z580" s="29"/>
      <c r="AA580" s="29"/>
      <c r="AB580" s="29"/>
      <c r="AC580" s="30"/>
      <c r="AD580" s="31"/>
      <c r="AE580" s="31"/>
      <c r="AF580" s="31"/>
      <c r="AG580" s="31"/>
      <c r="AH580" s="31"/>
      <c r="AI580" s="32"/>
    </row>
    <row r="581" spans="1:35" x14ac:dyDescent="0.25">
      <c r="A581" s="27"/>
      <c r="B581" s="28"/>
      <c r="C581" s="29"/>
      <c r="D581" s="30"/>
      <c r="E581" s="28"/>
      <c r="F581" s="29"/>
      <c r="G581" s="29"/>
      <c r="H581" s="29"/>
      <c r="I581" s="29"/>
      <c r="J581" s="29"/>
      <c r="K581" s="29"/>
      <c r="L581" s="29"/>
      <c r="M581" s="29"/>
      <c r="N581" s="30"/>
      <c r="O581" s="28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30"/>
      <c r="AD581" s="31"/>
      <c r="AE581" s="31"/>
      <c r="AF581" s="31"/>
      <c r="AG581" s="31"/>
      <c r="AH581" s="31"/>
      <c r="AI581" s="32"/>
    </row>
    <row r="582" spans="1:35" ht="15.75" thickBot="1" x14ac:dyDescent="0.3">
      <c r="A582" s="5"/>
      <c r="B582" s="17"/>
      <c r="C582" s="18"/>
      <c r="D582" s="19"/>
      <c r="E582" s="17"/>
      <c r="F582" s="18"/>
      <c r="G582" s="18"/>
      <c r="H582" s="18"/>
      <c r="I582" s="18"/>
      <c r="J582" s="18"/>
      <c r="K582" s="18"/>
      <c r="L582" s="18"/>
      <c r="M582" s="18"/>
      <c r="N582" s="19"/>
      <c r="O582" s="17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9"/>
      <c r="AD582" s="6"/>
      <c r="AE582" s="6"/>
      <c r="AF582" s="6"/>
      <c r="AG582" s="6"/>
      <c r="AH582" s="6"/>
      <c r="AI582" s="7"/>
    </row>
    <row r="583" spans="1:35" ht="15.75" thickTop="1" x14ac:dyDescent="0.25">
      <c r="A583" s="597"/>
      <c r="B583" s="272"/>
      <c r="C583" s="598"/>
      <c r="D583" s="273"/>
      <c r="E583" s="272"/>
      <c r="F583" s="598"/>
      <c r="G583" s="598"/>
      <c r="H583" s="598"/>
      <c r="I583" s="598"/>
      <c r="J583" s="598"/>
      <c r="K583" s="598"/>
      <c r="L583" s="598"/>
      <c r="M583" s="598"/>
      <c r="N583" s="273"/>
      <c r="O583" s="287">
        <v>2</v>
      </c>
      <c r="P583" s="604" t="s">
        <v>221</v>
      </c>
      <c r="Q583" s="598"/>
      <c r="R583" s="598"/>
      <c r="S583" s="598"/>
      <c r="T583" s="598"/>
      <c r="U583" s="598"/>
      <c r="V583" s="598"/>
      <c r="W583" s="598"/>
      <c r="X583" s="598"/>
      <c r="Y583" s="598"/>
      <c r="Z583" s="598"/>
      <c r="AA583" s="598"/>
      <c r="AB583" s="598"/>
      <c r="AC583" s="273"/>
      <c r="AD583" s="274"/>
      <c r="AE583" s="274"/>
      <c r="AF583" s="274"/>
      <c r="AG583" s="274"/>
      <c r="AH583" s="274"/>
      <c r="AI583" s="599"/>
    </row>
    <row r="584" spans="1:35" x14ac:dyDescent="0.25">
      <c r="A584" s="27"/>
      <c r="B584" s="28"/>
      <c r="C584" s="29"/>
      <c r="D584" s="30"/>
      <c r="E584" s="28"/>
      <c r="F584" s="29"/>
      <c r="G584" s="29"/>
      <c r="H584" s="29"/>
      <c r="I584" s="29"/>
      <c r="J584" s="29"/>
      <c r="K584" s="29"/>
      <c r="L584" s="29"/>
      <c r="M584" s="29"/>
      <c r="N584" s="30"/>
      <c r="O584" s="28"/>
      <c r="P584" s="29"/>
      <c r="Q584" s="29" t="s">
        <v>208</v>
      </c>
      <c r="R584" s="29"/>
      <c r="S584" s="58">
        <v>4</v>
      </c>
      <c r="T584" s="29"/>
      <c r="U584" s="29"/>
      <c r="V584" s="29"/>
      <c r="W584" s="29"/>
      <c r="X584" s="29"/>
      <c r="Y584" s="29"/>
      <c r="Z584" s="29"/>
      <c r="AA584" s="29"/>
      <c r="AB584" s="29"/>
      <c r="AC584" s="30"/>
      <c r="AD584" s="31"/>
      <c r="AE584" s="31"/>
      <c r="AF584" s="31"/>
      <c r="AG584" s="31"/>
      <c r="AH584" s="31"/>
      <c r="AI584" s="32"/>
    </row>
    <row r="585" spans="1:35" x14ac:dyDescent="0.25">
      <c r="A585" s="27"/>
      <c r="B585" s="28"/>
      <c r="C585" s="29"/>
      <c r="D585" s="30"/>
      <c r="E585" s="28"/>
      <c r="F585" s="29"/>
      <c r="G585" s="29"/>
      <c r="H585" s="29"/>
      <c r="I585" s="29"/>
      <c r="J585" s="29"/>
      <c r="K585" s="29"/>
      <c r="L585" s="29"/>
      <c r="M585" s="29"/>
      <c r="N585" s="30"/>
      <c r="O585" s="28"/>
      <c r="P585" s="29"/>
      <c r="Q585" s="29" t="s">
        <v>22</v>
      </c>
      <c r="R585" s="29"/>
      <c r="S585" s="58">
        <v>2.04</v>
      </c>
      <c r="T585" s="29"/>
      <c r="U585" s="29"/>
      <c r="V585" s="29"/>
      <c r="W585" s="29"/>
      <c r="X585" s="29"/>
      <c r="Y585" s="29"/>
      <c r="Z585" s="29"/>
      <c r="AA585" s="29"/>
      <c r="AB585" s="29"/>
      <c r="AC585" s="30"/>
      <c r="AD585" s="31"/>
      <c r="AE585" s="31"/>
      <c r="AF585" s="31"/>
      <c r="AG585" s="31"/>
      <c r="AH585" s="31"/>
      <c r="AI585" s="32"/>
    </row>
    <row r="586" spans="1:35" x14ac:dyDescent="0.25">
      <c r="A586" s="27"/>
      <c r="B586" s="28"/>
      <c r="C586" s="29"/>
      <c r="D586" s="30"/>
      <c r="E586" s="28"/>
      <c r="F586" s="29"/>
      <c r="G586" s="29"/>
      <c r="H586" s="29"/>
      <c r="I586" s="29"/>
      <c r="J586" s="29"/>
      <c r="K586" s="29"/>
      <c r="L586" s="29"/>
      <c r="M586" s="29"/>
      <c r="N586" s="30"/>
      <c r="O586" s="28"/>
      <c r="P586" s="29"/>
      <c r="Q586" s="29" t="s">
        <v>69</v>
      </c>
      <c r="R586" s="29"/>
      <c r="S586" s="58">
        <v>0.8</v>
      </c>
      <c r="T586" s="29"/>
      <c r="U586" s="29"/>
      <c r="V586" s="29"/>
      <c r="W586" s="29"/>
      <c r="X586" s="29"/>
      <c r="Y586" s="29"/>
      <c r="Z586" s="29"/>
      <c r="AA586" s="29"/>
      <c r="AB586" s="29"/>
      <c r="AC586" s="30"/>
      <c r="AD586" s="31"/>
      <c r="AE586" s="31"/>
      <c r="AF586" s="31"/>
      <c r="AG586" s="31"/>
      <c r="AH586" s="31"/>
      <c r="AI586" s="32"/>
    </row>
    <row r="587" spans="1:35" x14ac:dyDescent="0.25">
      <c r="A587" s="27"/>
      <c r="B587" s="28"/>
      <c r="C587" s="29"/>
      <c r="D587" s="30"/>
      <c r="E587" s="28"/>
      <c r="F587" s="29"/>
      <c r="G587" s="29"/>
      <c r="H587" s="29"/>
      <c r="I587" s="29"/>
      <c r="J587" s="29"/>
      <c r="K587" s="29"/>
      <c r="L587" s="29"/>
      <c r="M587" s="29"/>
      <c r="N587" s="30"/>
      <c r="O587" s="28"/>
      <c r="P587" s="29"/>
      <c r="Q587" s="29" t="s">
        <v>222</v>
      </c>
      <c r="R587" s="29"/>
      <c r="S587" s="29" t="s">
        <v>223</v>
      </c>
      <c r="T587" s="29"/>
      <c r="U587" s="29"/>
      <c r="V587" s="29"/>
      <c r="W587" s="29"/>
      <c r="X587" s="29"/>
      <c r="Y587" s="29"/>
      <c r="Z587" s="29"/>
      <c r="AA587" s="29"/>
      <c r="AB587" s="29"/>
      <c r="AC587" s="30"/>
      <c r="AD587" s="31"/>
      <c r="AE587" s="31"/>
      <c r="AF587" s="31"/>
      <c r="AG587" s="31"/>
      <c r="AH587" s="31"/>
      <c r="AI587" s="32"/>
    </row>
    <row r="588" spans="1:35" x14ac:dyDescent="0.25">
      <c r="A588" s="27"/>
      <c r="B588" s="28"/>
      <c r="C588" s="29"/>
      <c r="D588" s="30"/>
      <c r="E588" s="28"/>
      <c r="F588" s="29"/>
      <c r="G588" s="29"/>
      <c r="H588" s="29"/>
      <c r="I588" s="29"/>
      <c r="J588" s="29"/>
      <c r="K588" s="29"/>
      <c r="L588" s="29"/>
      <c r="M588" s="29"/>
      <c r="N588" s="30"/>
      <c r="O588" s="28"/>
      <c r="P588" s="29"/>
      <c r="Q588" s="29"/>
      <c r="R588" s="29"/>
      <c r="S588" s="57">
        <f>S585*S586*S584</f>
        <v>6.5280000000000005</v>
      </c>
      <c r="T588" s="29" t="s">
        <v>82</v>
      </c>
      <c r="U588" s="29"/>
      <c r="V588" s="29"/>
      <c r="W588" s="29"/>
      <c r="X588" s="29"/>
      <c r="Y588" s="29"/>
      <c r="Z588" s="29"/>
      <c r="AA588" s="29"/>
      <c r="AB588" s="29"/>
      <c r="AC588" s="30"/>
      <c r="AD588" s="31"/>
      <c r="AE588" s="31"/>
      <c r="AF588" s="31"/>
      <c r="AG588" s="31"/>
      <c r="AH588" s="31"/>
      <c r="AI588" s="32"/>
    </row>
    <row r="589" spans="1:35" x14ac:dyDescent="0.25">
      <c r="A589" s="27"/>
      <c r="B589" s="28"/>
      <c r="C589" s="29"/>
      <c r="D589" s="30"/>
      <c r="E589" s="28"/>
      <c r="F589" s="29"/>
      <c r="G589" s="29"/>
      <c r="H589" s="29"/>
      <c r="I589" s="29"/>
      <c r="J589" s="29"/>
      <c r="K589" s="29"/>
      <c r="L589" s="29"/>
      <c r="M589" s="29"/>
      <c r="N589" s="30"/>
      <c r="O589" s="28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30"/>
      <c r="AD589" s="31"/>
      <c r="AE589" s="31"/>
      <c r="AF589" s="31"/>
      <c r="AG589" s="31"/>
      <c r="AH589" s="31"/>
      <c r="AI589" s="32"/>
    </row>
    <row r="590" spans="1:35" x14ac:dyDescent="0.25">
      <c r="A590" s="27"/>
      <c r="B590" s="28"/>
      <c r="C590" s="29"/>
      <c r="D590" s="30"/>
      <c r="E590" s="28"/>
      <c r="F590" s="29"/>
      <c r="G590" s="29"/>
      <c r="H590" s="29"/>
      <c r="I590" s="29"/>
      <c r="J590" s="29"/>
      <c r="K590" s="29"/>
      <c r="L590" s="29"/>
      <c r="M590" s="29"/>
      <c r="N590" s="30"/>
      <c r="O590" s="42">
        <v>3</v>
      </c>
      <c r="P590" s="64" t="s">
        <v>224</v>
      </c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30"/>
      <c r="AD590" s="31"/>
      <c r="AE590" s="31"/>
      <c r="AF590" s="31"/>
      <c r="AG590" s="31"/>
      <c r="AH590" s="31"/>
      <c r="AI590" s="32"/>
    </row>
    <row r="591" spans="1:35" x14ac:dyDescent="0.25">
      <c r="A591" s="27"/>
      <c r="B591" s="28"/>
      <c r="C591" s="29"/>
      <c r="D591" s="30"/>
      <c r="E591" s="28"/>
      <c r="F591" s="29"/>
      <c r="G591" s="29"/>
      <c r="H591" s="29"/>
      <c r="I591" s="29"/>
      <c r="J591" s="29"/>
      <c r="K591" s="29"/>
      <c r="L591" s="29"/>
      <c r="M591" s="29"/>
      <c r="N591" s="30"/>
      <c r="O591" s="28"/>
      <c r="P591" s="29"/>
      <c r="Q591" s="29" t="s">
        <v>208</v>
      </c>
      <c r="R591" s="29"/>
      <c r="S591" s="58">
        <v>1</v>
      </c>
      <c r="T591" s="29"/>
      <c r="U591" s="29"/>
      <c r="V591" s="29"/>
      <c r="W591" s="29"/>
      <c r="X591" s="29"/>
      <c r="Y591" s="29"/>
      <c r="Z591" s="29"/>
      <c r="AA591" s="29"/>
      <c r="AB591" s="29"/>
      <c r="AC591" s="30"/>
      <c r="AD591" s="31"/>
      <c r="AE591" s="31"/>
      <c r="AF591" s="31"/>
      <c r="AG591" s="31"/>
      <c r="AH591" s="31"/>
      <c r="AI591" s="32"/>
    </row>
    <row r="592" spans="1:35" x14ac:dyDescent="0.25">
      <c r="A592" s="27"/>
      <c r="B592" s="28"/>
      <c r="C592" s="29"/>
      <c r="D592" s="30"/>
      <c r="E592" s="28"/>
      <c r="F592" s="29"/>
      <c r="G592" s="29"/>
      <c r="H592" s="29"/>
      <c r="I592" s="29"/>
      <c r="J592" s="29"/>
      <c r="K592" s="29"/>
      <c r="L592" s="29"/>
      <c r="M592" s="29"/>
      <c r="N592" s="30"/>
      <c r="O592" s="28"/>
      <c r="P592" s="29"/>
      <c r="Q592" s="29" t="s">
        <v>22</v>
      </c>
      <c r="R592" s="29"/>
      <c r="S592" s="58">
        <v>2.04</v>
      </c>
      <c r="T592" s="29"/>
      <c r="U592" s="29"/>
      <c r="V592" s="29"/>
      <c r="W592" s="29"/>
      <c r="X592" s="29"/>
      <c r="Y592" s="29"/>
      <c r="Z592" s="29"/>
      <c r="AA592" s="29"/>
      <c r="AB592" s="29"/>
      <c r="AC592" s="30"/>
      <c r="AD592" s="31"/>
      <c r="AE592" s="31"/>
      <c r="AF592" s="31"/>
      <c r="AG592" s="31"/>
      <c r="AH592" s="31"/>
      <c r="AI592" s="32"/>
    </row>
    <row r="593" spans="1:35" x14ac:dyDescent="0.25">
      <c r="A593" s="27"/>
      <c r="B593" s="28"/>
      <c r="C593" s="29"/>
      <c r="D593" s="30"/>
      <c r="E593" s="28"/>
      <c r="F593" s="29"/>
      <c r="G593" s="29"/>
      <c r="H593" s="29"/>
      <c r="I593" s="29"/>
      <c r="J593" s="29"/>
      <c r="K593" s="29"/>
      <c r="L593" s="29"/>
      <c r="M593" s="29"/>
      <c r="N593" s="30"/>
      <c r="O593" s="28"/>
      <c r="P593" s="29"/>
      <c r="Q593" s="29" t="s">
        <v>69</v>
      </c>
      <c r="R593" s="29"/>
      <c r="S593" s="58">
        <v>0.7</v>
      </c>
      <c r="T593" s="29"/>
      <c r="U593" s="29"/>
      <c r="V593" s="29"/>
      <c r="W593" s="29"/>
      <c r="X593" s="29"/>
      <c r="Y593" s="29"/>
      <c r="Z593" s="29"/>
      <c r="AA593" s="29"/>
      <c r="AB593" s="29"/>
      <c r="AC593" s="30"/>
      <c r="AD593" s="31"/>
      <c r="AE593" s="31"/>
      <c r="AF593" s="31"/>
      <c r="AG593" s="31"/>
      <c r="AH593" s="31"/>
      <c r="AI593" s="32"/>
    </row>
    <row r="594" spans="1:35" x14ac:dyDescent="0.25">
      <c r="A594" s="27"/>
      <c r="B594" s="28"/>
      <c r="C594" s="29"/>
      <c r="D594" s="30"/>
      <c r="E594" s="28"/>
      <c r="F594" s="29"/>
      <c r="G594" s="29"/>
      <c r="H594" s="29"/>
      <c r="I594" s="29"/>
      <c r="J594" s="29"/>
      <c r="K594" s="29"/>
      <c r="L594" s="29"/>
      <c r="M594" s="29"/>
      <c r="N594" s="30"/>
      <c r="O594" s="28"/>
      <c r="P594" s="29"/>
      <c r="Q594" s="29" t="s">
        <v>222</v>
      </c>
      <c r="R594" s="29"/>
      <c r="S594" s="29" t="s">
        <v>223</v>
      </c>
      <c r="T594" s="29"/>
      <c r="U594" s="29"/>
      <c r="V594" s="29"/>
      <c r="W594" s="29"/>
      <c r="X594" s="29"/>
      <c r="Y594" s="29"/>
      <c r="Z594" s="29"/>
      <c r="AA594" s="29"/>
      <c r="AB594" s="29"/>
      <c r="AC594" s="30"/>
      <c r="AD594" s="31"/>
      <c r="AE594" s="31"/>
      <c r="AF594" s="31"/>
      <c r="AG594" s="31"/>
      <c r="AH594" s="31"/>
      <c r="AI594" s="32"/>
    </row>
    <row r="595" spans="1:35" x14ac:dyDescent="0.25">
      <c r="A595" s="27"/>
      <c r="B595" s="28"/>
      <c r="C595" s="29"/>
      <c r="D595" s="30"/>
      <c r="E595" s="28"/>
      <c r="F595" s="29"/>
      <c r="G595" s="29"/>
      <c r="H595" s="29"/>
      <c r="I595" s="29"/>
      <c r="J595" s="29"/>
      <c r="K595" s="29"/>
      <c r="L595" s="29"/>
      <c r="M595" s="29"/>
      <c r="N595" s="30"/>
      <c r="O595" s="28"/>
      <c r="P595" s="29"/>
      <c r="Q595" s="29"/>
      <c r="R595" s="29"/>
      <c r="S595" s="57">
        <f>S592*S593*S591</f>
        <v>1.4279999999999999</v>
      </c>
      <c r="T595" s="29" t="s">
        <v>82</v>
      </c>
      <c r="U595" s="29"/>
      <c r="V595" s="29"/>
      <c r="W595" s="29"/>
      <c r="X595" s="29"/>
      <c r="Y595" s="29"/>
      <c r="Z595" s="29"/>
      <c r="AA595" s="29"/>
      <c r="AB595" s="29"/>
      <c r="AC595" s="30"/>
      <c r="AD595" s="31"/>
      <c r="AE595" s="31"/>
      <c r="AF595" s="31"/>
      <c r="AG595" s="31"/>
      <c r="AH595" s="31"/>
      <c r="AI595" s="32"/>
    </row>
    <row r="596" spans="1:35" x14ac:dyDescent="0.25">
      <c r="A596" s="27"/>
      <c r="B596" s="28"/>
      <c r="C596" s="29"/>
      <c r="D596" s="30"/>
      <c r="E596" s="28"/>
      <c r="F596" s="29"/>
      <c r="G596" s="29"/>
      <c r="H596" s="29"/>
      <c r="I596" s="29"/>
      <c r="J596" s="29"/>
      <c r="K596" s="29"/>
      <c r="L596" s="29"/>
      <c r="M596" s="29"/>
      <c r="N596" s="30"/>
      <c r="O596" s="28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30"/>
      <c r="AD596" s="31"/>
      <c r="AE596" s="31"/>
      <c r="AF596" s="31"/>
      <c r="AG596" s="31"/>
      <c r="AH596" s="31"/>
      <c r="AI596" s="32"/>
    </row>
    <row r="597" spans="1:35" x14ac:dyDescent="0.25">
      <c r="A597" s="27"/>
      <c r="B597" s="28"/>
      <c r="C597" s="29"/>
      <c r="D597" s="30"/>
      <c r="E597" s="28"/>
      <c r="F597" s="29"/>
      <c r="G597" s="29"/>
      <c r="H597" s="29"/>
      <c r="I597" s="29"/>
      <c r="J597" s="29"/>
      <c r="K597" s="29"/>
      <c r="L597" s="29"/>
      <c r="M597" s="29"/>
      <c r="N597" s="30"/>
      <c r="O597" s="42">
        <v>4</v>
      </c>
      <c r="P597" s="64" t="s">
        <v>225</v>
      </c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30"/>
      <c r="AD597" s="31"/>
      <c r="AE597" s="31"/>
      <c r="AF597" s="31"/>
      <c r="AG597" s="31"/>
      <c r="AH597" s="31"/>
      <c r="AI597" s="32"/>
    </row>
    <row r="598" spans="1:35" x14ac:dyDescent="0.25">
      <c r="A598" s="27"/>
      <c r="B598" s="28"/>
      <c r="C598" s="29"/>
      <c r="D598" s="30"/>
      <c r="E598" s="28"/>
      <c r="F598" s="29"/>
      <c r="G598" s="29"/>
      <c r="H598" s="29"/>
      <c r="I598" s="29"/>
      <c r="J598" s="29"/>
      <c r="K598" s="29"/>
      <c r="L598" s="29"/>
      <c r="M598" s="29"/>
      <c r="N598" s="30"/>
      <c r="O598" s="28"/>
      <c r="P598" s="29" t="s">
        <v>160</v>
      </c>
      <c r="Q598" s="29" t="s">
        <v>226</v>
      </c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30"/>
      <c r="AD598" s="31"/>
      <c r="AE598" s="31"/>
      <c r="AF598" s="31"/>
      <c r="AG598" s="31"/>
      <c r="AH598" s="31"/>
      <c r="AI598" s="32"/>
    </row>
    <row r="599" spans="1:35" x14ac:dyDescent="0.25">
      <c r="A599" s="27"/>
      <c r="B599" s="28"/>
      <c r="C599" s="29"/>
      <c r="D599" s="30"/>
      <c r="E599" s="28"/>
      <c r="F599" s="29"/>
      <c r="G599" s="29"/>
      <c r="H599" s="29"/>
      <c r="I599" s="29"/>
      <c r="J599" s="29"/>
      <c r="K599" s="29"/>
      <c r="L599" s="29"/>
      <c r="M599" s="29"/>
      <c r="N599" s="30"/>
      <c r="O599" s="28"/>
      <c r="P599" s="29"/>
      <c r="Q599" s="29" t="s">
        <v>208</v>
      </c>
      <c r="R599" s="29"/>
      <c r="S599" s="58">
        <v>2</v>
      </c>
      <c r="T599" s="29"/>
      <c r="U599" s="29"/>
      <c r="V599" s="29"/>
      <c r="W599" s="29"/>
      <c r="X599" s="29"/>
      <c r="Y599" s="29"/>
      <c r="Z599" s="29"/>
      <c r="AA599" s="29"/>
      <c r="AB599" s="29"/>
      <c r="AC599" s="30"/>
      <c r="AD599" s="31"/>
      <c r="AE599" s="31"/>
      <c r="AF599" s="31"/>
      <c r="AG599" s="31"/>
      <c r="AH599" s="31"/>
      <c r="AI599" s="32"/>
    </row>
    <row r="600" spans="1:35" x14ac:dyDescent="0.25">
      <c r="A600" s="27"/>
      <c r="B600" s="28"/>
      <c r="C600" s="29"/>
      <c r="D600" s="30"/>
      <c r="E600" s="28"/>
      <c r="F600" s="29"/>
      <c r="G600" s="29"/>
      <c r="H600" s="29"/>
      <c r="I600" s="29"/>
      <c r="J600" s="29"/>
      <c r="K600" s="29"/>
      <c r="L600" s="29"/>
      <c r="M600" s="29"/>
      <c r="N600" s="30"/>
      <c r="O600" s="28"/>
      <c r="P600" s="29"/>
      <c r="Q600" s="29" t="s">
        <v>22</v>
      </c>
      <c r="R600" s="29"/>
      <c r="S600" s="58">
        <v>0.57999999999999996</v>
      </c>
      <c r="T600" s="29"/>
      <c r="U600" s="29"/>
      <c r="V600" s="29"/>
      <c r="W600" s="29"/>
      <c r="X600" s="29"/>
      <c r="Y600" s="29"/>
      <c r="Z600" s="29"/>
      <c r="AA600" s="29"/>
      <c r="AB600" s="29"/>
      <c r="AC600" s="30"/>
      <c r="AD600" s="31"/>
      <c r="AE600" s="31"/>
      <c r="AF600" s="31"/>
      <c r="AG600" s="31"/>
      <c r="AH600" s="31"/>
      <c r="AI600" s="32"/>
    </row>
    <row r="601" spans="1:35" x14ac:dyDescent="0.25">
      <c r="A601" s="27"/>
      <c r="B601" s="28"/>
      <c r="C601" s="29"/>
      <c r="D601" s="30"/>
      <c r="E601" s="28"/>
      <c r="F601" s="29"/>
      <c r="G601" s="29"/>
      <c r="H601" s="29"/>
      <c r="I601" s="29"/>
      <c r="J601" s="29"/>
      <c r="K601" s="29"/>
      <c r="L601" s="29"/>
      <c r="M601" s="29"/>
      <c r="N601" s="30"/>
      <c r="O601" s="28"/>
      <c r="P601" s="29"/>
      <c r="Q601" s="29" t="s">
        <v>69</v>
      </c>
      <c r="R601" s="29"/>
      <c r="S601" s="58">
        <v>0.7</v>
      </c>
      <c r="T601" s="29"/>
      <c r="U601" s="29"/>
      <c r="V601" s="29"/>
      <c r="W601" s="29"/>
      <c r="X601" s="29"/>
      <c r="Y601" s="29"/>
      <c r="Z601" s="29"/>
      <c r="AA601" s="29"/>
      <c r="AB601" s="29"/>
      <c r="AC601" s="30"/>
      <c r="AD601" s="31"/>
      <c r="AE601" s="31"/>
      <c r="AF601" s="31"/>
      <c r="AG601" s="31"/>
      <c r="AH601" s="31"/>
      <c r="AI601" s="32"/>
    </row>
    <row r="602" spans="1:35" x14ac:dyDescent="0.25">
      <c r="A602" s="27"/>
      <c r="B602" s="28"/>
      <c r="C602" s="29"/>
      <c r="D602" s="30"/>
      <c r="E602" s="28"/>
      <c r="F602" s="29"/>
      <c r="G602" s="29"/>
      <c r="H602" s="29"/>
      <c r="I602" s="29"/>
      <c r="J602" s="29"/>
      <c r="K602" s="29"/>
      <c r="L602" s="29"/>
      <c r="M602" s="29"/>
      <c r="N602" s="30"/>
      <c r="O602" s="28"/>
      <c r="P602" s="29"/>
      <c r="Q602" s="29" t="s">
        <v>222</v>
      </c>
      <c r="R602" s="29"/>
      <c r="S602" s="29" t="s">
        <v>223</v>
      </c>
      <c r="T602" s="29"/>
      <c r="U602" s="29"/>
      <c r="V602" s="29"/>
      <c r="W602" s="29"/>
      <c r="X602" s="29"/>
      <c r="Y602" s="29"/>
      <c r="Z602" s="29"/>
      <c r="AA602" s="29"/>
      <c r="AB602" s="29"/>
      <c r="AC602" s="30"/>
      <c r="AD602" s="31"/>
      <c r="AE602" s="31"/>
      <c r="AF602" s="31"/>
      <c r="AG602" s="31"/>
      <c r="AH602" s="31"/>
      <c r="AI602" s="32"/>
    </row>
    <row r="603" spans="1:35" x14ac:dyDescent="0.25">
      <c r="A603" s="27"/>
      <c r="B603" s="28"/>
      <c r="C603" s="29"/>
      <c r="D603" s="30"/>
      <c r="E603" s="28"/>
      <c r="F603" s="29"/>
      <c r="G603" s="29"/>
      <c r="H603" s="29"/>
      <c r="I603" s="29"/>
      <c r="J603" s="29"/>
      <c r="K603" s="29"/>
      <c r="L603" s="29"/>
      <c r="M603" s="29"/>
      <c r="N603" s="30"/>
      <c r="O603" s="28"/>
      <c r="P603" s="29"/>
      <c r="Q603" s="29"/>
      <c r="R603" s="29"/>
      <c r="S603" s="57">
        <f>S600*S601*S599</f>
        <v>0.81199999999999994</v>
      </c>
      <c r="T603" s="29" t="s">
        <v>82</v>
      </c>
      <c r="U603" s="29"/>
      <c r="V603" s="29"/>
      <c r="W603" s="29"/>
      <c r="X603" s="29"/>
      <c r="Y603" s="29"/>
      <c r="Z603" s="29"/>
      <c r="AA603" s="29"/>
      <c r="AB603" s="29"/>
      <c r="AC603" s="30"/>
      <c r="AD603" s="31"/>
      <c r="AE603" s="31"/>
      <c r="AF603" s="31"/>
      <c r="AG603" s="31"/>
      <c r="AH603" s="31"/>
      <c r="AI603" s="32"/>
    </row>
    <row r="604" spans="1:35" x14ac:dyDescent="0.25">
      <c r="A604" s="27"/>
      <c r="B604" s="28"/>
      <c r="C604" s="29"/>
      <c r="D604" s="30"/>
      <c r="E604" s="28"/>
      <c r="F604" s="29"/>
      <c r="G604" s="29"/>
      <c r="H604" s="29"/>
      <c r="I604" s="29"/>
      <c r="J604" s="29"/>
      <c r="K604" s="29"/>
      <c r="L604" s="29"/>
      <c r="M604" s="29"/>
      <c r="N604" s="30"/>
      <c r="O604" s="28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30"/>
      <c r="AD604" s="31"/>
      <c r="AE604" s="31"/>
      <c r="AF604" s="31"/>
      <c r="AG604" s="31"/>
      <c r="AH604" s="31"/>
      <c r="AI604" s="32"/>
    </row>
    <row r="605" spans="1:35" x14ac:dyDescent="0.25">
      <c r="A605" s="27"/>
      <c r="B605" s="28"/>
      <c r="C605" s="29"/>
      <c r="D605" s="30"/>
      <c r="E605" s="28"/>
      <c r="F605" s="29"/>
      <c r="G605" s="29"/>
      <c r="H605" s="29"/>
      <c r="I605" s="29"/>
      <c r="J605" s="29"/>
      <c r="K605" s="29"/>
      <c r="L605" s="29"/>
      <c r="M605" s="29"/>
      <c r="N605" s="30"/>
      <c r="O605" s="28"/>
      <c r="P605" s="29" t="s">
        <v>161</v>
      </c>
      <c r="Q605" s="29" t="s">
        <v>227</v>
      </c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30"/>
      <c r="AD605" s="31"/>
      <c r="AE605" s="31"/>
      <c r="AF605" s="31"/>
      <c r="AG605" s="31"/>
      <c r="AH605" s="31"/>
      <c r="AI605" s="32"/>
    </row>
    <row r="606" spans="1:35" x14ac:dyDescent="0.25">
      <c r="A606" s="27"/>
      <c r="B606" s="28"/>
      <c r="C606" s="29"/>
      <c r="D606" s="30"/>
      <c r="E606" s="28"/>
      <c r="F606" s="29"/>
      <c r="G606" s="29"/>
      <c r="H606" s="29"/>
      <c r="I606" s="29"/>
      <c r="J606" s="29"/>
      <c r="K606" s="29"/>
      <c r="L606" s="29"/>
      <c r="M606" s="29"/>
      <c r="N606" s="30"/>
      <c r="O606" s="28"/>
      <c r="P606" s="29"/>
      <c r="Q606" s="29" t="s">
        <v>208</v>
      </c>
      <c r="R606" s="29"/>
      <c r="S606" s="58">
        <v>1</v>
      </c>
      <c r="T606" s="29"/>
      <c r="U606" s="29"/>
      <c r="V606" s="29"/>
      <c r="W606" s="29"/>
      <c r="X606" s="29"/>
      <c r="Y606" s="29"/>
      <c r="Z606" s="29"/>
      <c r="AA606" s="29"/>
      <c r="AB606" s="29"/>
      <c r="AC606" s="30"/>
      <c r="AD606" s="31"/>
      <c r="AE606" s="31"/>
      <c r="AF606" s="31"/>
      <c r="AG606" s="31"/>
      <c r="AH606" s="31"/>
      <c r="AI606" s="32"/>
    </row>
    <row r="607" spans="1:35" x14ac:dyDescent="0.25">
      <c r="A607" s="27"/>
      <c r="B607" s="28"/>
      <c r="C607" s="29"/>
      <c r="D607" s="30"/>
      <c r="E607" s="28"/>
      <c r="F607" s="29"/>
      <c r="G607" s="29"/>
      <c r="H607" s="29"/>
      <c r="I607" s="29"/>
      <c r="J607" s="29"/>
      <c r="K607" s="29"/>
      <c r="L607" s="29"/>
      <c r="M607" s="29"/>
      <c r="N607" s="30"/>
      <c r="O607" s="28"/>
      <c r="P607" s="29"/>
      <c r="Q607" s="29" t="s">
        <v>22</v>
      </c>
      <c r="R607" s="29"/>
      <c r="S607" s="58">
        <v>0.9</v>
      </c>
      <c r="T607" s="29"/>
      <c r="U607" s="29"/>
      <c r="V607" s="29"/>
      <c r="W607" s="29"/>
      <c r="X607" s="29"/>
      <c r="Y607" s="29"/>
      <c r="Z607" s="29"/>
      <c r="AA607" s="29"/>
      <c r="AB607" s="29"/>
      <c r="AC607" s="30"/>
      <c r="AD607" s="31"/>
      <c r="AE607" s="31"/>
      <c r="AF607" s="31"/>
      <c r="AG607" s="31"/>
      <c r="AH607" s="31"/>
      <c r="AI607" s="32"/>
    </row>
    <row r="608" spans="1:35" x14ac:dyDescent="0.25">
      <c r="A608" s="27"/>
      <c r="B608" s="28"/>
      <c r="C608" s="29"/>
      <c r="D608" s="30"/>
      <c r="E608" s="28"/>
      <c r="F608" s="29"/>
      <c r="G608" s="29"/>
      <c r="H608" s="29"/>
      <c r="I608" s="29"/>
      <c r="J608" s="29"/>
      <c r="K608" s="29"/>
      <c r="L608" s="29"/>
      <c r="M608" s="29"/>
      <c r="N608" s="30"/>
      <c r="O608" s="28"/>
      <c r="P608" s="29"/>
      <c r="Q608" s="29" t="s">
        <v>69</v>
      </c>
      <c r="R608" s="29"/>
      <c r="S608" s="58">
        <v>0.7</v>
      </c>
      <c r="T608" s="29"/>
      <c r="U608" s="29"/>
      <c r="V608" s="29"/>
      <c r="W608" s="29"/>
      <c r="X608" s="29"/>
      <c r="Y608" s="29"/>
      <c r="Z608" s="29"/>
      <c r="AA608" s="29"/>
      <c r="AB608" s="29"/>
      <c r="AC608" s="30"/>
      <c r="AD608" s="31"/>
      <c r="AE608" s="31"/>
      <c r="AF608" s="31"/>
      <c r="AG608" s="31"/>
      <c r="AH608" s="31"/>
      <c r="AI608" s="32"/>
    </row>
    <row r="609" spans="1:35" x14ac:dyDescent="0.25">
      <c r="A609" s="27"/>
      <c r="B609" s="28"/>
      <c r="C609" s="29"/>
      <c r="D609" s="30"/>
      <c r="E609" s="28"/>
      <c r="F609" s="29"/>
      <c r="G609" s="29"/>
      <c r="H609" s="29"/>
      <c r="I609" s="29"/>
      <c r="J609" s="29"/>
      <c r="K609" s="29"/>
      <c r="L609" s="29"/>
      <c r="M609" s="29"/>
      <c r="N609" s="30"/>
      <c r="O609" s="28"/>
      <c r="P609" s="29"/>
      <c r="Q609" s="29" t="s">
        <v>222</v>
      </c>
      <c r="R609" s="29"/>
      <c r="S609" s="29" t="s">
        <v>223</v>
      </c>
      <c r="T609" s="29"/>
      <c r="U609" s="29"/>
      <c r="V609" s="29"/>
      <c r="W609" s="29"/>
      <c r="X609" s="29"/>
      <c r="Y609" s="29"/>
      <c r="Z609" s="29"/>
      <c r="AA609" s="29"/>
      <c r="AB609" s="29"/>
      <c r="AC609" s="30"/>
      <c r="AD609" s="31"/>
      <c r="AE609" s="31"/>
      <c r="AF609" s="31"/>
      <c r="AG609" s="31"/>
      <c r="AH609" s="31"/>
      <c r="AI609" s="32"/>
    </row>
    <row r="610" spans="1:35" x14ac:dyDescent="0.25">
      <c r="A610" s="27"/>
      <c r="B610" s="28"/>
      <c r="C610" s="29"/>
      <c r="D610" s="30"/>
      <c r="E610" s="28"/>
      <c r="F610" s="29"/>
      <c r="G610" s="29"/>
      <c r="H610" s="29"/>
      <c r="I610" s="29"/>
      <c r="J610" s="29"/>
      <c r="K610" s="29"/>
      <c r="L610" s="29"/>
      <c r="M610" s="29"/>
      <c r="N610" s="30"/>
      <c r="O610" s="28"/>
      <c r="P610" s="29"/>
      <c r="Q610" s="29"/>
      <c r="R610" s="29"/>
      <c r="S610" s="57">
        <f>S607*S608*S606</f>
        <v>0.63</v>
      </c>
      <c r="T610" s="29" t="s">
        <v>82</v>
      </c>
      <c r="U610" s="29"/>
      <c r="V610" s="29"/>
      <c r="W610" s="29"/>
      <c r="X610" s="29"/>
      <c r="Y610" s="29"/>
      <c r="Z610" s="29"/>
      <c r="AA610" s="29"/>
      <c r="AB610" s="29"/>
      <c r="AC610" s="30"/>
      <c r="AD610" s="31"/>
      <c r="AE610" s="31"/>
      <c r="AF610" s="31"/>
      <c r="AG610" s="31"/>
      <c r="AH610" s="31"/>
      <c r="AI610" s="32"/>
    </row>
    <row r="611" spans="1:35" x14ac:dyDescent="0.25">
      <c r="A611" s="27"/>
      <c r="B611" s="28"/>
      <c r="C611" s="29"/>
      <c r="D611" s="30"/>
      <c r="E611" s="28"/>
      <c r="F611" s="29"/>
      <c r="G611" s="29"/>
      <c r="H611" s="29"/>
      <c r="I611" s="29"/>
      <c r="J611" s="29"/>
      <c r="K611" s="29"/>
      <c r="L611" s="29"/>
      <c r="M611" s="29"/>
      <c r="N611" s="30"/>
      <c r="O611" s="28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30"/>
      <c r="AD611" s="31"/>
      <c r="AE611" s="31"/>
      <c r="AF611" s="31"/>
      <c r="AG611" s="31"/>
      <c r="AH611" s="31"/>
      <c r="AI611" s="32"/>
    </row>
    <row r="612" spans="1:35" x14ac:dyDescent="0.25">
      <c r="A612" s="27"/>
      <c r="B612" s="28"/>
      <c r="C612" s="29"/>
      <c r="D612" s="30"/>
      <c r="E612" s="28"/>
      <c r="F612" s="29"/>
      <c r="G612" s="29"/>
      <c r="H612" s="29"/>
      <c r="I612" s="29"/>
      <c r="J612" s="29"/>
      <c r="K612" s="29"/>
      <c r="L612" s="29"/>
      <c r="M612" s="29"/>
      <c r="N612" s="30"/>
      <c r="O612" s="42">
        <v>5</v>
      </c>
      <c r="P612" s="64" t="s">
        <v>1907</v>
      </c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30"/>
      <c r="AD612" s="31"/>
      <c r="AE612" s="31"/>
      <c r="AF612" s="31"/>
      <c r="AG612" s="31"/>
      <c r="AH612" s="31"/>
      <c r="AI612" s="32"/>
    </row>
    <row r="613" spans="1:35" x14ac:dyDescent="0.25">
      <c r="A613" s="27"/>
      <c r="B613" s="28"/>
      <c r="C613" s="29"/>
      <c r="D613" s="30"/>
      <c r="E613" s="28"/>
      <c r="F613" s="29"/>
      <c r="G613" s="29"/>
      <c r="H613" s="29"/>
      <c r="I613" s="29"/>
      <c r="J613" s="29"/>
      <c r="K613" s="29"/>
      <c r="L613" s="29"/>
      <c r="M613" s="29"/>
      <c r="N613" s="30"/>
      <c r="O613" s="28"/>
      <c r="P613" s="29"/>
      <c r="Q613" s="29" t="s">
        <v>208</v>
      </c>
      <c r="R613" s="29"/>
      <c r="S613" s="58">
        <v>9</v>
      </c>
      <c r="T613" s="29"/>
      <c r="U613" s="29"/>
      <c r="V613" s="29"/>
      <c r="W613" s="29"/>
      <c r="X613" s="29"/>
      <c r="Y613" s="29"/>
      <c r="Z613" s="29"/>
      <c r="AA613" s="29"/>
      <c r="AB613" s="29"/>
      <c r="AC613" s="30"/>
      <c r="AD613" s="31"/>
      <c r="AE613" s="31"/>
      <c r="AF613" s="31"/>
      <c r="AG613" s="31"/>
      <c r="AH613" s="31"/>
      <c r="AI613" s="32"/>
    </row>
    <row r="614" spans="1:35" x14ac:dyDescent="0.25">
      <c r="A614" s="27"/>
      <c r="B614" s="28"/>
      <c r="C614" s="29"/>
      <c r="D614" s="30"/>
      <c r="E614" s="28"/>
      <c r="F614" s="29"/>
      <c r="G614" s="29"/>
      <c r="H614" s="29"/>
      <c r="I614" s="29"/>
      <c r="J614" s="29"/>
      <c r="K614" s="29"/>
      <c r="L614" s="29"/>
      <c r="M614" s="29"/>
      <c r="N614" s="30"/>
      <c r="O614" s="28"/>
      <c r="P614" s="29"/>
      <c r="Q614" s="29" t="s">
        <v>22</v>
      </c>
      <c r="R614" s="29"/>
      <c r="S614" s="58">
        <v>0.64</v>
      </c>
      <c r="T614" s="29"/>
      <c r="U614" s="29"/>
      <c r="V614" s="29"/>
      <c r="W614" s="29"/>
      <c r="X614" s="29"/>
      <c r="Y614" s="29"/>
      <c r="Z614" s="29"/>
      <c r="AA614" s="29"/>
      <c r="AB614" s="29"/>
      <c r="AC614" s="30"/>
      <c r="AD614" s="31"/>
      <c r="AE614" s="31"/>
      <c r="AF614" s="31"/>
      <c r="AG614" s="31"/>
      <c r="AH614" s="31"/>
      <c r="AI614" s="32"/>
    </row>
    <row r="615" spans="1:35" x14ac:dyDescent="0.25">
      <c r="A615" s="27"/>
      <c r="B615" s="28"/>
      <c r="C615" s="29"/>
      <c r="D615" s="30"/>
      <c r="E615" s="28"/>
      <c r="F615" s="29"/>
      <c r="G615" s="29"/>
      <c r="H615" s="29"/>
      <c r="I615" s="29"/>
      <c r="J615" s="29"/>
      <c r="K615" s="29"/>
      <c r="L615" s="29"/>
      <c r="M615" s="29"/>
      <c r="N615" s="30"/>
      <c r="O615" s="28"/>
      <c r="P615" s="29"/>
      <c r="Q615" s="29" t="s">
        <v>69</v>
      </c>
      <c r="R615" s="29"/>
      <c r="S615" s="58">
        <v>0.4</v>
      </c>
      <c r="T615" s="29"/>
      <c r="U615" s="29"/>
      <c r="V615" s="29"/>
      <c r="W615" s="29"/>
      <c r="X615" s="29"/>
      <c r="Y615" s="29"/>
      <c r="Z615" s="29"/>
      <c r="AA615" s="29"/>
      <c r="AB615" s="29"/>
      <c r="AC615" s="30"/>
      <c r="AD615" s="31"/>
      <c r="AE615" s="31"/>
      <c r="AF615" s="31"/>
      <c r="AG615" s="31"/>
      <c r="AH615" s="31"/>
      <c r="AI615" s="32"/>
    </row>
    <row r="616" spans="1:35" x14ac:dyDescent="0.25">
      <c r="A616" s="27"/>
      <c r="B616" s="28"/>
      <c r="C616" s="29"/>
      <c r="D616" s="30"/>
      <c r="E616" s="28"/>
      <c r="F616" s="29"/>
      <c r="G616" s="29"/>
      <c r="H616" s="29"/>
      <c r="I616" s="29"/>
      <c r="J616" s="29"/>
      <c r="K616" s="29"/>
      <c r="L616" s="29"/>
      <c r="M616" s="29"/>
      <c r="N616" s="30"/>
      <c r="O616" s="28"/>
      <c r="P616" s="29"/>
      <c r="Q616" s="29" t="s">
        <v>222</v>
      </c>
      <c r="R616" s="29"/>
      <c r="S616" s="29" t="s">
        <v>223</v>
      </c>
      <c r="T616" s="29"/>
      <c r="U616" s="29"/>
      <c r="V616" s="29"/>
      <c r="W616" s="29"/>
      <c r="X616" s="29"/>
      <c r="Y616" s="29"/>
      <c r="Z616" s="29"/>
      <c r="AA616" s="29"/>
      <c r="AB616" s="29"/>
      <c r="AC616" s="30"/>
      <c r="AD616" s="31"/>
      <c r="AE616" s="31"/>
      <c r="AF616" s="31"/>
      <c r="AG616" s="31"/>
      <c r="AH616" s="31"/>
      <c r="AI616" s="32"/>
    </row>
    <row r="617" spans="1:35" x14ac:dyDescent="0.25">
      <c r="A617" s="27"/>
      <c r="B617" s="28"/>
      <c r="C617" s="29"/>
      <c r="D617" s="30"/>
      <c r="E617" s="28"/>
      <c r="F617" s="29"/>
      <c r="G617" s="29"/>
      <c r="H617" s="29"/>
      <c r="I617" s="29"/>
      <c r="J617" s="29"/>
      <c r="K617" s="29"/>
      <c r="L617" s="29"/>
      <c r="M617" s="29"/>
      <c r="N617" s="30"/>
      <c r="O617" s="28"/>
      <c r="P617" s="29"/>
      <c r="Q617" s="29"/>
      <c r="R617" s="29"/>
      <c r="S617" s="57">
        <f>S614*S615*S613</f>
        <v>2.3040000000000003</v>
      </c>
      <c r="T617" s="29" t="s">
        <v>82</v>
      </c>
      <c r="U617" s="29"/>
      <c r="V617" s="29"/>
      <c r="W617" s="29"/>
      <c r="X617" s="29"/>
      <c r="Y617" s="29"/>
      <c r="Z617" s="29"/>
      <c r="AA617" s="29"/>
      <c r="AB617" s="29"/>
      <c r="AC617" s="30"/>
      <c r="AD617" s="31"/>
      <c r="AE617" s="31"/>
      <c r="AF617" s="31"/>
      <c r="AG617" s="31"/>
      <c r="AH617" s="31"/>
      <c r="AI617" s="32"/>
    </row>
    <row r="618" spans="1:35" x14ac:dyDescent="0.25">
      <c r="A618" s="27"/>
      <c r="B618" s="28"/>
      <c r="C618" s="29"/>
      <c r="D618" s="30"/>
      <c r="E618" s="28"/>
      <c r="F618" s="29"/>
      <c r="G618" s="29"/>
      <c r="H618" s="29"/>
      <c r="I618" s="29"/>
      <c r="J618" s="29"/>
      <c r="K618" s="29"/>
      <c r="L618" s="29"/>
      <c r="M618" s="29"/>
      <c r="N618" s="30"/>
      <c r="O618" s="28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30"/>
      <c r="AD618" s="31"/>
      <c r="AE618" s="31"/>
      <c r="AF618" s="31"/>
      <c r="AG618" s="31"/>
      <c r="AH618" s="31"/>
      <c r="AI618" s="32"/>
    </row>
    <row r="619" spans="1:35" x14ac:dyDescent="0.25">
      <c r="A619" s="27"/>
      <c r="B619" s="28"/>
      <c r="C619" s="29"/>
      <c r="D619" s="30"/>
      <c r="E619" s="28"/>
      <c r="F619" s="29"/>
      <c r="G619" s="29"/>
      <c r="H619" s="29"/>
      <c r="I619" s="29"/>
      <c r="J619" s="29"/>
      <c r="K619" s="29"/>
      <c r="L619" s="29"/>
      <c r="M619" s="29"/>
      <c r="N619" s="30"/>
      <c r="O619" s="28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30"/>
      <c r="AD619" s="31"/>
      <c r="AE619" s="31"/>
      <c r="AF619" s="31"/>
      <c r="AG619" s="31"/>
      <c r="AH619" s="31"/>
      <c r="AI619" s="32"/>
    </row>
    <row r="620" spans="1:35" ht="15.75" thickBot="1" x14ac:dyDescent="0.3">
      <c r="A620" s="5"/>
      <c r="B620" s="17"/>
      <c r="C620" s="18"/>
      <c r="D620" s="19"/>
      <c r="E620" s="17"/>
      <c r="F620" s="18"/>
      <c r="G620" s="18"/>
      <c r="H620" s="18"/>
      <c r="I620" s="18"/>
      <c r="J620" s="18"/>
      <c r="K620" s="18"/>
      <c r="L620" s="18"/>
      <c r="M620" s="18"/>
      <c r="N620" s="19"/>
      <c r="O620" s="17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9"/>
      <c r="AD620" s="6"/>
      <c r="AE620" s="6"/>
      <c r="AF620" s="6"/>
      <c r="AG620" s="6"/>
      <c r="AH620" s="6"/>
      <c r="AI620" s="7"/>
    </row>
    <row r="621" spans="1:35" ht="15.75" thickTop="1" x14ac:dyDescent="0.25">
      <c r="A621" s="597"/>
      <c r="B621" s="272"/>
      <c r="C621" s="598"/>
      <c r="D621" s="273"/>
      <c r="E621" s="272"/>
      <c r="F621" s="598"/>
      <c r="G621" s="598"/>
      <c r="H621" s="598"/>
      <c r="I621" s="598"/>
      <c r="J621" s="598"/>
      <c r="K621" s="598"/>
      <c r="L621" s="598"/>
      <c r="M621" s="598"/>
      <c r="N621" s="273"/>
      <c r="O621" s="272"/>
      <c r="P621" s="598"/>
      <c r="Q621" s="598"/>
      <c r="R621" s="598"/>
      <c r="S621" s="598"/>
      <c r="T621" s="598"/>
      <c r="U621" s="598"/>
      <c r="V621" s="598"/>
      <c r="W621" s="598"/>
      <c r="X621" s="598"/>
      <c r="Y621" s="598"/>
      <c r="Z621" s="598"/>
      <c r="AA621" s="598"/>
      <c r="AB621" s="598"/>
      <c r="AC621" s="273"/>
      <c r="AD621" s="274"/>
      <c r="AE621" s="274"/>
      <c r="AF621" s="274"/>
      <c r="AG621" s="274"/>
      <c r="AH621" s="274"/>
      <c r="AI621" s="599"/>
    </row>
    <row r="622" spans="1:35" x14ac:dyDescent="0.25">
      <c r="A622" s="41" t="s">
        <v>228</v>
      </c>
      <c r="B622" s="42" t="s">
        <v>229</v>
      </c>
      <c r="C622" s="29"/>
      <c r="D622" s="30"/>
      <c r="E622" s="28"/>
      <c r="F622" s="29"/>
      <c r="G622" s="29"/>
      <c r="H622" s="29"/>
      <c r="I622" s="29"/>
      <c r="J622" s="29"/>
      <c r="K622" s="29"/>
      <c r="L622" s="29"/>
      <c r="M622" s="29"/>
      <c r="N622" s="30"/>
      <c r="O622" s="28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30"/>
      <c r="AD622" s="31"/>
      <c r="AE622" s="31"/>
      <c r="AF622" s="31"/>
      <c r="AG622" s="31"/>
      <c r="AH622" s="31"/>
      <c r="AI622" s="32"/>
    </row>
    <row r="623" spans="1:35" x14ac:dyDescent="0.25">
      <c r="A623" s="27"/>
      <c r="B623" s="28"/>
      <c r="C623" s="29"/>
      <c r="D623" s="30"/>
      <c r="E623" s="28"/>
      <c r="F623" s="29"/>
      <c r="G623" s="29"/>
      <c r="H623" s="29"/>
      <c r="I623" s="33">
        <v>6</v>
      </c>
      <c r="J623" s="29"/>
      <c r="K623" s="33">
        <v>3</v>
      </c>
      <c r="L623" s="29"/>
      <c r="M623" s="29"/>
      <c r="N623" s="30"/>
      <c r="O623" s="28">
        <v>1</v>
      </c>
      <c r="P623" s="29" t="s">
        <v>230</v>
      </c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30"/>
      <c r="AD623" s="31"/>
      <c r="AE623" s="39">
        <f>S631</f>
        <v>44.37</v>
      </c>
      <c r="AF623" s="31"/>
      <c r="AG623" s="31"/>
      <c r="AH623" s="31"/>
      <c r="AI623" s="32"/>
    </row>
    <row r="624" spans="1:35" x14ac:dyDescent="0.25">
      <c r="A624" s="27"/>
      <c r="B624" s="28"/>
      <c r="C624" s="29"/>
      <c r="D624" s="30"/>
      <c r="E624" s="28"/>
      <c r="F624" s="29"/>
      <c r="G624" s="29"/>
      <c r="H624" s="29"/>
      <c r="I624" s="29"/>
      <c r="J624" s="29"/>
      <c r="K624" s="29"/>
      <c r="L624" s="29"/>
      <c r="M624" s="29"/>
      <c r="N624" s="30"/>
      <c r="O624" s="28"/>
      <c r="P624" s="29" t="s">
        <v>231</v>
      </c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30"/>
      <c r="AD624" s="31"/>
      <c r="AE624" s="31"/>
      <c r="AF624" s="31"/>
      <c r="AG624" s="31"/>
      <c r="AH624" s="31"/>
      <c r="AI624" s="32"/>
    </row>
    <row r="625" spans="1:35" x14ac:dyDescent="0.25">
      <c r="A625" s="27"/>
      <c r="B625" s="28"/>
      <c r="C625" s="29"/>
      <c r="D625" s="30"/>
      <c r="E625" s="28"/>
      <c r="F625" s="29"/>
      <c r="G625" s="29"/>
      <c r="H625" s="29"/>
      <c r="I625" s="29"/>
      <c r="J625" s="29"/>
      <c r="K625" s="29"/>
      <c r="L625" s="29"/>
      <c r="M625" s="29"/>
      <c r="N625" s="30"/>
      <c r="O625" s="28"/>
      <c r="P625" s="29"/>
      <c r="Q625" s="29"/>
      <c r="R625" s="29"/>
      <c r="S625" s="38"/>
      <c r="T625" s="29"/>
      <c r="U625" s="29"/>
      <c r="V625" s="29"/>
      <c r="W625" s="29"/>
      <c r="X625" s="29"/>
      <c r="Y625" s="29"/>
      <c r="Z625" s="29"/>
      <c r="AA625" s="29"/>
      <c r="AB625" s="29"/>
      <c r="AC625" s="30"/>
      <c r="AD625" s="31"/>
      <c r="AE625" s="31"/>
      <c r="AF625" s="31"/>
      <c r="AG625" s="31"/>
      <c r="AH625" s="31"/>
      <c r="AI625" s="32"/>
    </row>
    <row r="626" spans="1:35" x14ac:dyDescent="0.25">
      <c r="A626" s="27"/>
      <c r="B626" s="28"/>
      <c r="C626" s="29"/>
      <c r="D626" s="30"/>
      <c r="E626" s="28"/>
      <c r="F626" s="29"/>
      <c r="G626" s="29"/>
      <c r="H626" s="29"/>
      <c r="I626" s="29"/>
      <c r="J626" s="29"/>
      <c r="K626" s="29"/>
      <c r="L626" s="29"/>
      <c r="M626" s="29"/>
      <c r="N626" s="30"/>
      <c r="O626" s="28"/>
      <c r="P626" s="29" t="s">
        <v>232</v>
      </c>
      <c r="Q626" s="29"/>
      <c r="R626" s="29"/>
      <c r="S626" s="29"/>
      <c r="T626" s="29">
        <f>E632</f>
        <v>8</v>
      </c>
      <c r="U626" s="38" t="s">
        <v>16</v>
      </c>
      <c r="V626" s="29">
        <f>I623</f>
        <v>6</v>
      </c>
      <c r="W626" s="29" t="s">
        <v>29</v>
      </c>
      <c r="X626" s="29">
        <f>T626*V626</f>
        <v>48</v>
      </c>
      <c r="Y626" s="29"/>
      <c r="Z626" s="29"/>
      <c r="AA626" s="29"/>
      <c r="AB626" s="29"/>
      <c r="AC626" s="30"/>
      <c r="AD626" s="31"/>
      <c r="AE626" s="31"/>
      <c r="AF626" s="31"/>
      <c r="AG626" s="31"/>
      <c r="AH626" s="31"/>
      <c r="AI626" s="32"/>
    </row>
    <row r="627" spans="1:35" x14ac:dyDescent="0.25">
      <c r="A627" s="27"/>
      <c r="B627" s="28"/>
      <c r="C627" s="29"/>
      <c r="D627" s="30"/>
      <c r="E627" s="28"/>
      <c r="F627" s="29"/>
      <c r="G627" s="29"/>
      <c r="H627" s="29"/>
      <c r="I627" s="29"/>
      <c r="J627" s="29"/>
      <c r="K627" s="29"/>
      <c r="L627" s="29"/>
      <c r="M627" s="33">
        <v>1.25</v>
      </c>
      <c r="N627" s="30"/>
      <c r="O627" s="28"/>
      <c r="P627" s="29" t="s">
        <v>233</v>
      </c>
      <c r="Q627" s="29"/>
      <c r="R627" s="29"/>
      <c r="S627" s="29"/>
      <c r="T627" s="29">
        <f>H644</f>
        <v>2</v>
      </c>
      <c r="U627" s="38" t="s">
        <v>16</v>
      </c>
      <c r="V627" s="29">
        <f>M640</f>
        <v>1.5</v>
      </c>
      <c r="W627" s="29" t="s">
        <v>29</v>
      </c>
      <c r="X627" s="29">
        <f>T627*V627</f>
        <v>3</v>
      </c>
      <c r="Y627" s="29"/>
      <c r="Z627" s="29"/>
      <c r="AA627" s="29"/>
      <c r="AB627" s="29"/>
      <c r="AC627" s="30"/>
      <c r="AD627" s="31"/>
      <c r="AE627" s="31"/>
      <c r="AF627" s="31"/>
      <c r="AG627" s="31"/>
      <c r="AH627" s="31"/>
      <c r="AI627" s="32"/>
    </row>
    <row r="628" spans="1:35" x14ac:dyDescent="0.25">
      <c r="A628" s="27"/>
      <c r="B628" s="28"/>
      <c r="C628" s="29"/>
      <c r="D628" s="30"/>
      <c r="E628" s="28"/>
      <c r="F628" s="29"/>
      <c r="G628" s="29"/>
      <c r="H628" s="29"/>
      <c r="I628" s="29"/>
      <c r="J628" s="29"/>
      <c r="K628" s="29"/>
      <c r="L628" s="29"/>
      <c r="M628" s="29"/>
      <c r="N628" s="30"/>
      <c r="O628" s="28"/>
      <c r="P628" s="29" t="s">
        <v>234</v>
      </c>
      <c r="Q628" s="29"/>
      <c r="R628" s="29"/>
      <c r="S628" s="29"/>
      <c r="T628" s="29">
        <f>M634</f>
        <v>1.6</v>
      </c>
      <c r="U628" s="38" t="s">
        <v>16</v>
      </c>
      <c r="V628" s="29">
        <f>M631</f>
        <v>1.8</v>
      </c>
      <c r="W628" s="29" t="s">
        <v>29</v>
      </c>
      <c r="X628" s="29">
        <f>T628*V628</f>
        <v>2.8800000000000003</v>
      </c>
      <c r="Y628" s="29"/>
      <c r="Z628" s="29"/>
      <c r="AA628" s="29"/>
      <c r="AB628" s="29"/>
      <c r="AC628" s="30"/>
      <c r="AD628" s="31"/>
      <c r="AE628" s="31"/>
      <c r="AF628" s="31"/>
      <c r="AG628" s="31"/>
      <c r="AH628" s="31"/>
      <c r="AI628" s="32"/>
    </row>
    <row r="629" spans="1:35" x14ac:dyDescent="0.25">
      <c r="A629" s="27"/>
      <c r="B629" s="28"/>
      <c r="C629" s="29"/>
      <c r="D629" s="30"/>
      <c r="E629" s="28"/>
      <c r="F629" s="29"/>
      <c r="G629" s="29"/>
      <c r="H629" s="29"/>
      <c r="I629" s="29"/>
      <c r="J629" s="29"/>
      <c r="K629" s="29"/>
      <c r="L629" s="29"/>
      <c r="M629" s="29"/>
      <c r="N629" s="30"/>
      <c r="O629" s="28"/>
      <c r="P629" s="29" t="s">
        <v>235</v>
      </c>
      <c r="Q629" s="29"/>
      <c r="R629" s="29"/>
      <c r="S629" s="29"/>
      <c r="T629" s="29">
        <f>K623</f>
        <v>3</v>
      </c>
      <c r="U629" s="38" t="s">
        <v>16</v>
      </c>
      <c r="V629" s="29">
        <f>M627</f>
        <v>1.25</v>
      </c>
      <c r="W629" s="29" t="s">
        <v>29</v>
      </c>
      <c r="X629" s="29">
        <f>T629*V629</f>
        <v>3.75</v>
      </c>
      <c r="Y629" s="29"/>
      <c r="Z629" s="29"/>
      <c r="AA629" s="29"/>
      <c r="AB629" s="29"/>
      <c r="AC629" s="30"/>
      <c r="AD629" s="31"/>
      <c r="AE629" s="31"/>
      <c r="AF629" s="31"/>
      <c r="AG629" s="31"/>
      <c r="AH629" s="31"/>
      <c r="AI629" s="32"/>
    </row>
    <row r="630" spans="1:35" x14ac:dyDescent="0.25">
      <c r="A630" s="27"/>
      <c r="B630" s="28"/>
      <c r="C630" s="29"/>
      <c r="D630" s="30"/>
      <c r="E630" s="28"/>
      <c r="F630" s="29"/>
      <c r="G630" s="29"/>
      <c r="H630" s="29"/>
      <c r="I630" s="29"/>
      <c r="J630" s="29"/>
      <c r="K630" s="29"/>
      <c r="L630" s="29"/>
      <c r="M630" s="29"/>
      <c r="N630" s="30"/>
      <c r="O630" s="28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30"/>
      <c r="AD630" s="31"/>
      <c r="AE630" s="31"/>
      <c r="AF630" s="31"/>
      <c r="AG630" s="31"/>
      <c r="AH630" s="31"/>
      <c r="AI630" s="32"/>
    </row>
    <row r="631" spans="1:35" x14ac:dyDescent="0.25">
      <c r="A631" s="27"/>
      <c r="B631" s="28"/>
      <c r="C631" s="29"/>
      <c r="D631" s="30"/>
      <c r="E631" s="28"/>
      <c r="F631" s="29"/>
      <c r="G631" s="29"/>
      <c r="H631" s="29"/>
      <c r="I631" s="29"/>
      <c r="J631" s="29"/>
      <c r="K631" s="29"/>
      <c r="L631" s="29"/>
      <c r="M631" s="33">
        <v>1.8</v>
      </c>
      <c r="N631" s="30"/>
      <c r="O631" s="28"/>
      <c r="P631" s="29" t="s">
        <v>236</v>
      </c>
      <c r="Q631" s="29"/>
      <c r="R631" s="29"/>
      <c r="S631" s="29">
        <f>X626+X627-X628-X629</f>
        <v>44.37</v>
      </c>
      <c r="T631" s="29" t="s">
        <v>82</v>
      </c>
      <c r="U631" s="29"/>
      <c r="V631" s="29"/>
      <c r="W631" s="29"/>
      <c r="X631" s="29"/>
      <c r="Y631" s="29"/>
      <c r="Z631" s="29"/>
      <c r="AA631" s="29"/>
      <c r="AB631" s="29"/>
      <c r="AC631" s="30"/>
      <c r="AD631" s="31"/>
      <c r="AE631" s="31"/>
      <c r="AF631" s="31"/>
      <c r="AG631" s="31"/>
      <c r="AH631" s="31"/>
      <c r="AI631" s="32"/>
    </row>
    <row r="632" spans="1:35" x14ac:dyDescent="0.25">
      <c r="A632" s="27"/>
      <c r="B632" s="28"/>
      <c r="C632" s="29"/>
      <c r="D632" s="30"/>
      <c r="E632" s="53">
        <v>8</v>
      </c>
      <c r="F632" s="29"/>
      <c r="G632" s="29"/>
      <c r="H632" s="29"/>
      <c r="I632" s="29"/>
      <c r="J632" s="29"/>
      <c r="K632" s="29"/>
      <c r="L632" s="29"/>
      <c r="M632" s="29"/>
      <c r="N632" s="30"/>
      <c r="O632" s="28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30"/>
      <c r="AD632" s="31"/>
      <c r="AE632" s="31"/>
      <c r="AF632" s="31"/>
      <c r="AG632" s="31"/>
      <c r="AH632" s="31"/>
      <c r="AI632" s="32"/>
    </row>
    <row r="633" spans="1:35" x14ac:dyDescent="0.25">
      <c r="A633" s="27"/>
      <c r="B633" s="28"/>
      <c r="C633" s="29"/>
      <c r="D633" s="30"/>
      <c r="E633" s="28"/>
      <c r="F633" s="29"/>
      <c r="G633" s="29"/>
      <c r="H633" s="29"/>
      <c r="I633" s="29"/>
      <c r="J633" s="29"/>
      <c r="K633" s="29"/>
      <c r="L633" s="29"/>
      <c r="M633" s="29"/>
      <c r="N633" s="30"/>
      <c r="O633" s="28">
        <v>2</v>
      </c>
      <c r="P633" s="29" t="s">
        <v>237</v>
      </c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30"/>
      <c r="AD633" s="31"/>
      <c r="AE633" s="39">
        <f>U634</f>
        <v>2.8800000000000003</v>
      </c>
      <c r="AF633" s="31"/>
      <c r="AG633" s="31"/>
      <c r="AH633" s="31"/>
      <c r="AI633" s="32"/>
    </row>
    <row r="634" spans="1:35" x14ac:dyDescent="0.25">
      <c r="A634" s="27"/>
      <c r="B634" s="28"/>
      <c r="C634" s="29"/>
      <c r="D634" s="30"/>
      <c r="E634" s="28"/>
      <c r="F634" s="29"/>
      <c r="G634" s="29"/>
      <c r="H634" s="29"/>
      <c r="I634" s="29"/>
      <c r="J634" s="29"/>
      <c r="K634" s="29"/>
      <c r="L634" s="29"/>
      <c r="M634" s="33">
        <v>1.6</v>
      </c>
      <c r="N634" s="30"/>
      <c r="O634" s="28"/>
      <c r="P634" s="29" t="s">
        <v>238</v>
      </c>
      <c r="Q634" s="29"/>
      <c r="R634" s="29"/>
      <c r="S634" s="29"/>
      <c r="T634" s="29"/>
      <c r="U634" s="29">
        <f>X628</f>
        <v>2.8800000000000003</v>
      </c>
      <c r="V634" s="29" t="s">
        <v>82</v>
      </c>
      <c r="W634" s="29"/>
      <c r="X634" s="29"/>
      <c r="Y634" s="29"/>
      <c r="Z634" s="29"/>
      <c r="AA634" s="29"/>
      <c r="AB634" s="29"/>
      <c r="AC634" s="30"/>
      <c r="AD634" s="31"/>
      <c r="AE634" s="31"/>
      <c r="AF634" s="31"/>
      <c r="AG634" s="31"/>
      <c r="AH634" s="31"/>
      <c r="AI634" s="32"/>
    </row>
    <row r="635" spans="1:35" x14ac:dyDescent="0.25">
      <c r="A635" s="27"/>
      <c r="B635" s="28"/>
      <c r="C635" s="29"/>
      <c r="D635" s="30"/>
      <c r="E635" s="28"/>
      <c r="F635" s="29"/>
      <c r="G635" s="29"/>
      <c r="H635" s="29"/>
      <c r="I635" s="29"/>
      <c r="J635" s="29"/>
      <c r="K635" s="29"/>
      <c r="L635" s="29"/>
      <c r="M635" s="29"/>
      <c r="N635" s="30"/>
      <c r="O635" s="28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30"/>
      <c r="AD635" s="31"/>
      <c r="AE635" s="31"/>
      <c r="AF635" s="31"/>
      <c r="AG635" s="31"/>
      <c r="AH635" s="31"/>
      <c r="AI635" s="32"/>
    </row>
    <row r="636" spans="1:35" x14ac:dyDescent="0.25">
      <c r="A636" s="27"/>
      <c r="B636" s="28"/>
      <c r="C636" s="29"/>
      <c r="D636" s="30"/>
      <c r="E636" s="28"/>
      <c r="F636" s="29"/>
      <c r="G636" s="29"/>
      <c r="H636" s="29"/>
      <c r="I636" s="29"/>
      <c r="J636" s="29"/>
      <c r="K636" s="29"/>
      <c r="L636" s="29"/>
      <c r="M636" s="29"/>
      <c r="N636" s="30"/>
      <c r="O636" s="28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30"/>
      <c r="AD636" s="31"/>
      <c r="AE636" s="31"/>
      <c r="AF636" s="31"/>
      <c r="AG636" s="31"/>
      <c r="AH636" s="31"/>
      <c r="AI636" s="32"/>
    </row>
    <row r="637" spans="1:35" x14ac:dyDescent="0.25">
      <c r="A637" s="27"/>
      <c r="B637" s="28"/>
      <c r="C637" s="29"/>
      <c r="D637" s="30"/>
      <c r="E637" s="28"/>
      <c r="F637" s="29"/>
      <c r="G637" s="29"/>
      <c r="H637" s="29"/>
      <c r="I637" s="29"/>
      <c r="J637" s="29"/>
      <c r="K637" s="29"/>
      <c r="L637" s="29"/>
      <c r="M637" s="29"/>
      <c r="N637" s="30"/>
      <c r="O637" s="28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30"/>
      <c r="AD637" s="31"/>
      <c r="AE637" s="31"/>
      <c r="AF637" s="31"/>
      <c r="AG637" s="31"/>
      <c r="AH637" s="31"/>
      <c r="AI637" s="32"/>
    </row>
    <row r="638" spans="1:35" x14ac:dyDescent="0.25">
      <c r="A638" s="27"/>
      <c r="B638" s="28"/>
      <c r="C638" s="29"/>
      <c r="D638" s="30"/>
      <c r="E638" s="28"/>
      <c r="F638" s="29"/>
      <c r="G638" s="29"/>
      <c r="H638" s="29"/>
      <c r="I638" s="29"/>
      <c r="J638" s="29"/>
      <c r="K638" s="29"/>
      <c r="L638" s="29"/>
      <c r="M638" s="29"/>
      <c r="N638" s="30"/>
      <c r="O638" s="28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30"/>
      <c r="AD638" s="31"/>
      <c r="AE638" s="31"/>
      <c r="AF638" s="31"/>
      <c r="AG638" s="31"/>
      <c r="AH638" s="31"/>
      <c r="AI638" s="32"/>
    </row>
    <row r="639" spans="1:35" x14ac:dyDescent="0.25">
      <c r="A639" s="27"/>
      <c r="B639" s="28"/>
      <c r="C639" s="29"/>
      <c r="D639" s="30"/>
      <c r="E639" s="28"/>
      <c r="F639" s="29"/>
      <c r="G639" s="29"/>
      <c r="H639" s="29"/>
      <c r="I639" s="29"/>
      <c r="J639" s="29"/>
      <c r="K639" s="29"/>
      <c r="L639" s="29"/>
      <c r="M639" s="29"/>
      <c r="N639" s="30"/>
      <c r="O639" s="28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30"/>
      <c r="AD639" s="31"/>
      <c r="AE639" s="31"/>
      <c r="AF639" s="31"/>
      <c r="AG639" s="31"/>
      <c r="AH639" s="31"/>
      <c r="AI639" s="32"/>
    </row>
    <row r="640" spans="1:35" x14ac:dyDescent="0.25">
      <c r="A640" s="27"/>
      <c r="B640" s="28"/>
      <c r="C640" s="29"/>
      <c r="D640" s="30"/>
      <c r="E640" s="28"/>
      <c r="F640" s="29"/>
      <c r="G640" s="29"/>
      <c r="H640" s="29"/>
      <c r="I640" s="29"/>
      <c r="J640" s="29"/>
      <c r="K640" s="29"/>
      <c r="L640" s="29"/>
      <c r="M640" s="33">
        <v>1.5</v>
      </c>
      <c r="N640" s="30"/>
      <c r="O640" s="28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30"/>
      <c r="AD640" s="31"/>
      <c r="AE640" s="31"/>
      <c r="AF640" s="31"/>
      <c r="AG640" s="31"/>
      <c r="AH640" s="31"/>
      <c r="AI640" s="32"/>
    </row>
    <row r="641" spans="1:35" x14ac:dyDescent="0.25">
      <c r="A641" s="27"/>
      <c r="B641" s="28"/>
      <c r="C641" s="29"/>
      <c r="D641" s="30"/>
      <c r="E641" s="28"/>
      <c r="F641" s="29"/>
      <c r="G641" s="29"/>
      <c r="H641" s="29"/>
      <c r="I641" s="29"/>
      <c r="J641" s="29"/>
      <c r="K641" s="29"/>
      <c r="L641" s="29"/>
      <c r="M641" s="29"/>
      <c r="N641" s="30"/>
      <c r="O641" s="28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30"/>
      <c r="AD641" s="31"/>
      <c r="AE641" s="31"/>
      <c r="AF641" s="31"/>
      <c r="AG641" s="31"/>
      <c r="AH641" s="31"/>
      <c r="AI641" s="32"/>
    </row>
    <row r="642" spans="1:35" x14ac:dyDescent="0.25">
      <c r="A642" s="27"/>
      <c r="B642" s="28"/>
      <c r="C642" s="29"/>
      <c r="D642" s="30"/>
      <c r="E642" s="28"/>
      <c r="F642" s="29"/>
      <c r="G642" s="29"/>
      <c r="H642" s="29"/>
      <c r="I642" s="29"/>
      <c r="J642" s="29"/>
      <c r="K642" s="29"/>
      <c r="L642" s="29"/>
      <c r="M642" s="29"/>
      <c r="N642" s="30"/>
      <c r="O642" s="28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30"/>
      <c r="AD642" s="31"/>
      <c r="AE642" s="31"/>
      <c r="AF642" s="31"/>
      <c r="AG642" s="31"/>
      <c r="AH642" s="31"/>
      <c r="AI642" s="32"/>
    </row>
    <row r="643" spans="1:35" x14ac:dyDescent="0.25">
      <c r="A643" s="27"/>
      <c r="B643" s="28"/>
      <c r="C643" s="29"/>
      <c r="D643" s="30"/>
      <c r="E643" s="28"/>
      <c r="F643" s="29"/>
      <c r="G643" s="29"/>
      <c r="H643" s="29"/>
      <c r="I643" s="29"/>
      <c r="J643" s="29"/>
      <c r="K643" s="29"/>
      <c r="L643" s="29"/>
      <c r="M643" s="29"/>
      <c r="N643" s="30"/>
      <c r="O643" s="28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30"/>
      <c r="AD643" s="31"/>
      <c r="AE643" s="31"/>
      <c r="AF643" s="31"/>
      <c r="AG643" s="31"/>
      <c r="AH643" s="31"/>
      <c r="AI643" s="32"/>
    </row>
    <row r="644" spans="1:35" x14ac:dyDescent="0.25">
      <c r="A644" s="27"/>
      <c r="B644" s="28"/>
      <c r="C644" s="29"/>
      <c r="D644" s="30"/>
      <c r="E644" s="28"/>
      <c r="F644" s="29"/>
      <c r="G644" s="29"/>
      <c r="H644" s="33">
        <v>2</v>
      </c>
      <c r="I644" s="29"/>
      <c r="J644" s="29"/>
      <c r="K644" s="29"/>
      <c r="L644" s="29"/>
      <c r="M644" s="29"/>
      <c r="N644" s="30"/>
      <c r="O644" s="28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30"/>
      <c r="AD644" s="31"/>
      <c r="AE644" s="31"/>
      <c r="AF644" s="31"/>
      <c r="AG644" s="31"/>
      <c r="AH644" s="31"/>
      <c r="AI644" s="32"/>
    </row>
    <row r="645" spans="1:35" x14ac:dyDescent="0.25">
      <c r="A645" s="27"/>
      <c r="B645" s="28"/>
      <c r="C645" s="29"/>
      <c r="D645" s="30"/>
      <c r="E645" s="28"/>
      <c r="F645" s="29"/>
      <c r="G645" s="29"/>
      <c r="H645" s="29"/>
      <c r="I645" s="29"/>
      <c r="J645" s="29"/>
      <c r="K645" s="29"/>
      <c r="L645" s="29"/>
      <c r="M645" s="29"/>
      <c r="N645" s="30"/>
      <c r="O645" s="28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30"/>
      <c r="AD645" s="31"/>
      <c r="AE645" s="31"/>
      <c r="AF645" s="31"/>
      <c r="AG645" s="31"/>
      <c r="AH645" s="31"/>
      <c r="AI645" s="32"/>
    </row>
    <row r="646" spans="1:35" x14ac:dyDescent="0.25">
      <c r="A646" s="27"/>
      <c r="B646" s="28"/>
      <c r="C646" s="29"/>
      <c r="D646" s="30"/>
      <c r="E646" s="28"/>
      <c r="F646" s="29"/>
      <c r="G646" s="29"/>
      <c r="H646" s="29"/>
      <c r="I646" s="29"/>
      <c r="J646" s="29"/>
      <c r="K646" s="29"/>
      <c r="L646" s="29"/>
      <c r="M646" s="29"/>
      <c r="N646" s="30"/>
      <c r="O646" s="28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30"/>
      <c r="AD646" s="31"/>
      <c r="AE646" s="31"/>
      <c r="AF646" s="31"/>
      <c r="AG646" s="31"/>
      <c r="AH646" s="31"/>
      <c r="AI646" s="32"/>
    </row>
    <row r="647" spans="1:35" x14ac:dyDescent="0.25">
      <c r="A647" s="41" t="s">
        <v>228</v>
      </c>
      <c r="B647" s="42" t="s">
        <v>239</v>
      </c>
      <c r="C647" s="29"/>
      <c r="D647" s="30"/>
      <c r="E647" s="28"/>
      <c r="F647" s="29"/>
      <c r="G647" s="29"/>
      <c r="H647" s="29"/>
      <c r="I647" s="29"/>
      <c r="J647" s="29"/>
      <c r="K647" s="29"/>
      <c r="L647" s="29"/>
      <c r="M647" s="29"/>
      <c r="N647" s="30"/>
      <c r="O647" s="28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30"/>
      <c r="AD647" s="31"/>
      <c r="AE647" s="31"/>
      <c r="AF647" s="31"/>
      <c r="AG647" s="31"/>
      <c r="AH647" s="31"/>
      <c r="AI647" s="32"/>
    </row>
    <row r="648" spans="1:35" x14ac:dyDescent="0.25">
      <c r="A648" s="27"/>
      <c r="B648" s="28"/>
      <c r="C648" s="29"/>
      <c r="D648" s="30"/>
      <c r="E648" s="28"/>
      <c r="F648" s="29"/>
      <c r="G648" s="29"/>
      <c r="H648" s="29"/>
      <c r="I648" s="29"/>
      <c r="J648" s="29"/>
      <c r="K648" s="29"/>
      <c r="L648" s="29"/>
      <c r="M648" s="29"/>
      <c r="N648" s="30"/>
      <c r="O648" s="77">
        <v>1</v>
      </c>
      <c r="P648" s="29" t="s">
        <v>240</v>
      </c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30"/>
      <c r="AD648" s="31"/>
      <c r="AE648" s="31"/>
      <c r="AF648" s="31"/>
      <c r="AG648" s="31">
        <v>4</v>
      </c>
      <c r="AH648" s="31"/>
      <c r="AI648" s="32"/>
    </row>
    <row r="649" spans="1:35" x14ac:dyDescent="0.25">
      <c r="A649" s="27"/>
      <c r="B649" s="28"/>
      <c r="C649" s="29"/>
      <c r="D649" s="30"/>
      <c r="E649" s="28"/>
      <c r="F649" s="29"/>
      <c r="G649" s="29"/>
      <c r="H649" s="29"/>
      <c r="I649" s="29"/>
      <c r="J649" s="29"/>
      <c r="K649" s="29"/>
      <c r="L649" s="29"/>
      <c r="M649" s="29"/>
      <c r="N649" s="30"/>
      <c r="O649" s="77">
        <v>2</v>
      </c>
      <c r="P649" s="29" t="s">
        <v>241</v>
      </c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30"/>
      <c r="AD649" s="31"/>
      <c r="AE649" s="31"/>
      <c r="AF649" s="31"/>
      <c r="AG649" s="31">
        <v>1</v>
      </c>
      <c r="AH649" s="31"/>
      <c r="AI649" s="32"/>
    </row>
    <row r="650" spans="1:35" x14ac:dyDescent="0.25">
      <c r="A650" s="27"/>
      <c r="B650" s="28"/>
      <c r="C650" s="29"/>
      <c r="D650" s="30"/>
      <c r="E650" s="28"/>
      <c r="F650" s="29"/>
      <c r="G650" s="29"/>
      <c r="H650" s="29"/>
      <c r="I650" s="29"/>
      <c r="J650" s="29"/>
      <c r="K650" s="29"/>
      <c r="L650" s="29"/>
      <c r="M650" s="29"/>
      <c r="N650" s="30"/>
      <c r="O650" s="77">
        <v>3</v>
      </c>
      <c r="P650" s="29" t="s">
        <v>1909</v>
      </c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30"/>
      <c r="AD650" s="31"/>
      <c r="AE650" s="31"/>
      <c r="AF650" s="31"/>
      <c r="AG650" s="31">
        <v>5</v>
      </c>
      <c r="AH650" s="31"/>
      <c r="AI650" s="32"/>
    </row>
    <row r="651" spans="1:35" x14ac:dyDescent="0.25">
      <c r="A651" s="27"/>
      <c r="B651" s="28"/>
      <c r="C651" s="29"/>
      <c r="D651" s="30"/>
      <c r="E651" s="28"/>
      <c r="F651" s="29"/>
      <c r="G651" s="29"/>
      <c r="H651" s="29"/>
      <c r="I651" s="29"/>
      <c r="J651" s="29"/>
      <c r="K651" s="29"/>
      <c r="L651" s="29"/>
      <c r="M651" s="29"/>
      <c r="N651" s="30"/>
      <c r="O651" s="77">
        <v>4</v>
      </c>
      <c r="P651" s="29" t="s">
        <v>1910</v>
      </c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30"/>
      <c r="AD651" s="31"/>
      <c r="AE651" s="31"/>
      <c r="AF651" s="31"/>
      <c r="AG651" s="31">
        <v>4</v>
      </c>
      <c r="AH651" s="31"/>
      <c r="AI651" s="32"/>
    </row>
    <row r="652" spans="1:35" x14ac:dyDescent="0.25">
      <c r="A652" s="27"/>
      <c r="B652" s="28"/>
      <c r="C652" s="29"/>
      <c r="D652" s="30"/>
      <c r="E652" s="28"/>
      <c r="F652" s="29"/>
      <c r="G652" s="29"/>
      <c r="H652" s="29"/>
      <c r="I652" s="29"/>
      <c r="J652" s="29"/>
      <c r="K652" s="29"/>
      <c r="L652" s="29"/>
      <c r="M652" s="29"/>
      <c r="N652" s="30"/>
      <c r="O652" s="77">
        <v>5</v>
      </c>
      <c r="P652" s="29" t="s">
        <v>242</v>
      </c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30"/>
      <c r="AD652" s="31"/>
      <c r="AE652" s="31"/>
      <c r="AF652" s="31"/>
      <c r="AG652" s="31">
        <f>3*(AG648+AG649)</f>
        <v>15</v>
      </c>
      <c r="AH652" s="31"/>
      <c r="AI652" s="32"/>
    </row>
    <row r="653" spans="1:35" x14ac:dyDescent="0.25">
      <c r="A653" s="27"/>
      <c r="B653" s="28"/>
      <c r="C653" s="29"/>
      <c r="D653" s="30"/>
      <c r="E653" s="28"/>
      <c r="F653" s="29"/>
      <c r="G653" s="29"/>
      <c r="H653" s="29"/>
      <c r="I653" s="29"/>
      <c r="J653" s="29"/>
      <c r="K653" s="29"/>
      <c r="L653" s="29"/>
      <c r="M653" s="29"/>
      <c r="N653" s="30"/>
      <c r="O653" s="77">
        <v>6</v>
      </c>
      <c r="P653" s="29" t="s">
        <v>243</v>
      </c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30"/>
      <c r="AD653" s="31"/>
      <c r="AE653" s="31"/>
      <c r="AF653" s="31"/>
      <c r="AG653" s="31">
        <f>2*AG651</f>
        <v>8</v>
      </c>
      <c r="AH653" s="31"/>
      <c r="AI653" s="32"/>
    </row>
    <row r="654" spans="1:35" x14ac:dyDescent="0.25">
      <c r="A654" s="27"/>
      <c r="B654" s="28"/>
      <c r="C654" s="29"/>
      <c r="D654" s="30"/>
      <c r="E654" s="28"/>
      <c r="F654" s="29"/>
      <c r="G654" s="29"/>
      <c r="H654" s="29"/>
      <c r="I654" s="29"/>
      <c r="J654" s="29"/>
      <c r="K654" s="29"/>
      <c r="L654" s="29"/>
      <c r="M654" s="29"/>
      <c r="N654" s="30"/>
      <c r="O654" s="77">
        <v>7</v>
      </c>
      <c r="P654" s="29" t="s">
        <v>244</v>
      </c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30"/>
      <c r="AD654" s="31"/>
      <c r="AE654" s="31"/>
      <c r="AF654" s="31"/>
      <c r="AG654" s="31">
        <f>2*AG651</f>
        <v>8</v>
      </c>
      <c r="AH654" s="31"/>
      <c r="AI654" s="32"/>
    </row>
    <row r="655" spans="1:35" x14ac:dyDescent="0.25">
      <c r="A655" s="27"/>
      <c r="B655" s="28"/>
      <c r="C655" s="29"/>
      <c r="D655" s="30"/>
      <c r="E655" s="28"/>
      <c r="F655" s="29"/>
      <c r="G655" s="29"/>
      <c r="H655" s="29"/>
      <c r="I655" s="29"/>
      <c r="J655" s="29"/>
      <c r="K655" s="29"/>
      <c r="L655" s="29"/>
      <c r="M655" s="29"/>
      <c r="N655" s="30"/>
      <c r="O655" s="77">
        <v>8</v>
      </c>
      <c r="P655" s="29" t="s">
        <v>245</v>
      </c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30"/>
      <c r="AD655" s="31"/>
      <c r="AE655" s="31"/>
      <c r="AF655" s="31"/>
      <c r="AG655" s="31"/>
      <c r="AH655" s="31">
        <v>1</v>
      </c>
      <c r="AI655" s="32"/>
    </row>
    <row r="656" spans="1:35" x14ac:dyDescent="0.25">
      <c r="A656" s="27"/>
      <c r="B656" s="28"/>
      <c r="C656" s="29"/>
      <c r="D656" s="30"/>
      <c r="E656" s="28"/>
      <c r="F656" s="29"/>
      <c r="G656" s="29"/>
      <c r="H656" s="29"/>
      <c r="I656" s="29"/>
      <c r="J656" s="29"/>
      <c r="K656" s="29"/>
      <c r="L656" s="29"/>
      <c r="M656" s="29"/>
      <c r="N656" s="30"/>
      <c r="O656" s="28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30"/>
      <c r="AD656" s="31"/>
      <c r="AE656" s="31"/>
      <c r="AF656" s="31"/>
      <c r="AG656" s="31"/>
      <c r="AH656" s="31"/>
      <c r="AI656" s="32"/>
    </row>
    <row r="657" spans="1:35" x14ac:dyDescent="0.25">
      <c r="A657" s="41" t="s">
        <v>246</v>
      </c>
      <c r="B657" s="42" t="s">
        <v>247</v>
      </c>
      <c r="C657" s="29"/>
      <c r="D657" s="30"/>
      <c r="E657" s="28"/>
      <c r="F657" s="29"/>
      <c r="G657" s="29"/>
      <c r="H657" s="29"/>
      <c r="I657" s="29"/>
      <c r="J657" s="29"/>
      <c r="K657" s="29"/>
      <c r="L657" s="29"/>
      <c r="M657" s="29"/>
      <c r="N657" s="30"/>
      <c r="O657" s="28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30"/>
      <c r="AD657" s="31"/>
      <c r="AE657" s="31"/>
      <c r="AF657" s="31"/>
      <c r="AG657" s="31"/>
      <c r="AH657" s="31"/>
      <c r="AI657" s="32"/>
    </row>
    <row r="658" spans="1:35" x14ac:dyDescent="0.25">
      <c r="A658" s="27"/>
      <c r="B658" s="28"/>
      <c r="C658" s="29"/>
      <c r="D658" s="30"/>
      <c r="E658" s="28"/>
      <c r="F658" s="29"/>
      <c r="G658" s="29"/>
      <c r="H658" s="29"/>
      <c r="I658" s="29"/>
      <c r="J658" s="29"/>
      <c r="K658" s="29"/>
      <c r="L658" s="29"/>
      <c r="M658" s="29"/>
      <c r="N658" s="30"/>
      <c r="O658" s="77">
        <v>1</v>
      </c>
      <c r="P658" s="29" t="s">
        <v>306</v>
      </c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30"/>
      <c r="AD658" s="31"/>
      <c r="AE658" s="31"/>
      <c r="AF658" s="31"/>
      <c r="AG658" s="31">
        <v>2</v>
      </c>
      <c r="AH658" s="31"/>
      <c r="AI658" s="32"/>
    </row>
    <row r="659" spans="1:35" x14ac:dyDescent="0.25">
      <c r="A659" s="27"/>
      <c r="B659" s="28"/>
      <c r="C659" s="29"/>
      <c r="D659" s="30"/>
      <c r="E659" s="28"/>
      <c r="F659" s="29"/>
      <c r="G659" s="29"/>
      <c r="H659" s="29"/>
      <c r="I659" s="29"/>
      <c r="J659" s="29"/>
      <c r="K659" s="29"/>
      <c r="L659" s="29"/>
      <c r="M659" s="29"/>
      <c r="N659" s="30"/>
      <c r="O659" s="77">
        <v>2</v>
      </c>
      <c r="P659" s="29" t="s">
        <v>1896</v>
      </c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30"/>
      <c r="AD659" s="31"/>
      <c r="AE659" s="31"/>
      <c r="AF659" s="31"/>
      <c r="AG659" s="31">
        <v>5</v>
      </c>
      <c r="AH659" s="31"/>
      <c r="AI659" s="32"/>
    </row>
    <row r="660" spans="1:35" x14ac:dyDescent="0.25">
      <c r="A660" s="27"/>
      <c r="B660" s="28"/>
      <c r="C660" s="29"/>
      <c r="D660" s="30"/>
      <c r="E660" s="28"/>
      <c r="F660" s="29"/>
      <c r="G660" s="29"/>
      <c r="H660" s="29"/>
      <c r="I660" s="29"/>
      <c r="J660" s="29"/>
      <c r="K660" s="29"/>
      <c r="L660" s="29"/>
      <c r="M660" s="29"/>
      <c r="N660" s="30"/>
      <c r="O660" s="77">
        <v>3</v>
      </c>
      <c r="P660" s="29" t="s">
        <v>259</v>
      </c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30"/>
      <c r="AD660" s="31"/>
      <c r="AE660" s="31"/>
      <c r="AF660" s="31"/>
      <c r="AG660" s="31">
        <v>1</v>
      </c>
      <c r="AH660" s="31"/>
      <c r="AI660" s="32"/>
    </row>
    <row r="661" spans="1:35" x14ac:dyDescent="0.25">
      <c r="A661" s="27"/>
      <c r="B661" s="28"/>
      <c r="C661" s="29"/>
      <c r="D661" s="30"/>
      <c r="E661" s="28"/>
      <c r="F661" s="29"/>
      <c r="G661" s="29"/>
      <c r="H661" s="29"/>
      <c r="I661" s="29"/>
      <c r="J661" s="29"/>
      <c r="K661" s="29"/>
      <c r="L661" s="29"/>
      <c r="M661" s="29"/>
      <c r="N661" s="30"/>
      <c r="O661" s="77">
        <v>4</v>
      </c>
      <c r="P661" s="29" t="s">
        <v>248</v>
      </c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30"/>
      <c r="AD661" s="31"/>
      <c r="AE661" s="31"/>
      <c r="AF661" s="31"/>
      <c r="AG661" s="31">
        <v>2</v>
      </c>
      <c r="AH661" s="31"/>
      <c r="AI661" s="32"/>
    </row>
    <row r="662" spans="1:35" x14ac:dyDescent="0.25">
      <c r="A662" s="27"/>
      <c r="B662" s="28"/>
      <c r="C662" s="29"/>
      <c r="D662" s="30"/>
      <c r="E662" s="28"/>
      <c r="F662" s="29"/>
      <c r="G662" s="29"/>
      <c r="H662" s="29"/>
      <c r="I662" s="29"/>
      <c r="J662" s="29"/>
      <c r="K662" s="29"/>
      <c r="L662" s="29"/>
      <c r="M662" s="29"/>
      <c r="N662" s="30"/>
      <c r="O662" s="77">
        <v>5</v>
      </c>
      <c r="P662" s="29" t="s">
        <v>249</v>
      </c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30"/>
      <c r="AD662" s="31"/>
      <c r="AE662" s="31"/>
      <c r="AF662" s="31"/>
      <c r="AG662" s="31">
        <v>4</v>
      </c>
      <c r="AH662" s="31"/>
      <c r="AI662" s="32"/>
    </row>
    <row r="663" spans="1:35" x14ac:dyDescent="0.25">
      <c r="A663" s="27"/>
      <c r="B663" s="28"/>
      <c r="C663" s="29"/>
      <c r="D663" s="30"/>
      <c r="E663" s="28"/>
      <c r="F663" s="29"/>
      <c r="G663" s="29"/>
      <c r="H663" s="29"/>
      <c r="I663" s="29"/>
      <c r="J663" s="29"/>
      <c r="K663" s="29"/>
      <c r="L663" s="29"/>
      <c r="M663" s="29"/>
      <c r="N663" s="30"/>
      <c r="O663" s="77">
        <v>6</v>
      </c>
      <c r="P663" s="29" t="s">
        <v>250</v>
      </c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30"/>
      <c r="AD663" s="31"/>
      <c r="AE663" s="31"/>
      <c r="AF663" s="31"/>
      <c r="AG663" s="31">
        <v>4</v>
      </c>
      <c r="AH663" s="31"/>
      <c r="AI663" s="32"/>
    </row>
    <row r="664" spans="1:35" x14ac:dyDescent="0.25">
      <c r="A664" s="27"/>
      <c r="B664" s="28"/>
      <c r="C664" s="29"/>
      <c r="D664" s="30"/>
      <c r="E664" s="28"/>
      <c r="F664" s="29"/>
      <c r="G664" s="29"/>
      <c r="H664" s="29"/>
      <c r="I664" s="29"/>
      <c r="J664" s="29"/>
      <c r="K664" s="29"/>
      <c r="L664" s="29"/>
      <c r="M664" s="29"/>
      <c r="N664" s="30"/>
      <c r="O664" s="77">
        <v>7</v>
      </c>
      <c r="P664" s="29" t="s">
        <v>251</v>
      </c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30"/>
      <c r="AD664" s="31"/>
      <c r="AE664" s="31"/>
      <c r="AF664" s="31"/>
      <c r="AG664" s="31">
        <v>1</v>
      </c>
      <c r="AH664" s="31"/>
      <c r="AI664" s="32"/>
    </row>
    <row r="665" spans="1:35" x14ac:dyDescent="0.25">
      <c r="A665" s="27"/>
      <c r="B665" s="28"/>
      <c r="C665" s="29"/>
      <c r="D665" s="30"/>
      <c r="E665" s="28"/>
      <c r="F665" s="29"/>
      <c r="G665" s="29"/>
      <c r="H665" s="29"/>
      <c r="I665" s="29"/>
      <c r="J665" s="29"/>
      <c r="K665" s="29"/>
      <c r="L665" s="29"/>
      <c r="M665" s="29"/>
      <c r="N665" s="30"/>
      <c r="O665" s="77">
        <v>8</v>
      </c>
      <c r="P665" s="29" t="s">
        <v>252</v>
      </c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30"/>
      <c r="AD665" s="31"/>
      <c r="AE665" s="31"/>
      <c r="AF665" s="31"/>
      <c r="AG665" s="31">
        <v>1</v>
      </c>
      <c r="AH665" s="31"/>
      <c r="AI665" s="32"/>
    </row>
    <row r="666" spans="1:35" x14ac:dyDescent="0.25">
      <c r="A666" s="27"/>
      <c r="B666" s="28"/>
      <c r="C666" s="29"/>
      <c r="D666" s="30"/>
      <c r="E666" s="28"/>
      <c r="F666" s="29"/>
      <c r="G666" s="29"/>
      <c r="H666" s="29"/>
      <c r="I666" s="29"/>
      <c r="J666" s="29"/>
      <c r="K666" s="29"/>
      <c r="L666" s="29"/>
      <c r="M666" s="29"/>
      <c r="N666" s="30"/>
      <c r="O666" s="77">
        <v>9</v>
      </c>
      <c r="P666" s="29" t="s">
        <v>253</v>
      </c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30"/>
      <c r="AD666" s="31"/>
      <c r="AE666" s="31"/>
      <c r="AF666" s="31"/>
      <c r="AG666" s="31">
        <v>1</v>
      </c>
      <c r="AH666" s="31"/>
      <c r="AI666" s="32"/>
    </row>
    <row r="667" spans="1:35" x14ac:dyDescent="0.25">
      <c r="A667" s="27"/>
      <c r="B667" s="28"/>
      <c r="C667" s="29"/>
      <c r="D667" s="30"/>
      <c r="E667" s="28"/>
      <c r="F667" s="29"/>
      <c r="G667" s="29"/>
      <c r="H667" s="29"/>
      <c r="I667" s="29"/>
      <c r="J667" s="29"/>
      <c r="K667" s="29"/>
      <c r="L667" s="29"/>
      <c r="M667" s="29"/>
      <c r="N667" s="30"/>
      <c r="O667" s="77">
        <v>10</v>
      </c>
      <c r="P667" s="29" t="s">
        <v>254</v>
      </c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30"/>
      <c r="AD667" s="31"/>
      <c r="AE667" s="31"/>
      <c r="AF667" s="31"/>
      <c r="AG667" s="31">
        <v>4</v>
      </c>
      <c r="AH667" s="31"/>
      <c r="AI667" s="32"/>
    </row>
    <row r="668" spans="1:35" x14ac:dyDescent="0.25">
      <c r="A668" s="27"/>
      <c r="B668" s="28"/>
      <c r="C668" s="29"/>
      <c r="D668" s="30"/>
      <c r="E668" s="28"/>
      <c r="F668" s="29"/>
      <c r="G668" s="29"/>
      <c r="H668" s="29"/>
      <c r="I668" s="29"/>
      <c r="J668" s="29"/>
      <c r="K668" s="29"/>
      <c r="L668" s="29"/>
      <c r="M668" s="29"/>
      <c r="N668" s="30"/>
      <c r="O668" s="77">
        <v>11</v>
      </c>
      <c r="P668" s="29" t="s">
        <v>255</v>
      </c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30"/>
      <c r="AD668" s="31"/>
      <c r="AE668" s="31"/>
      <c r="AF668" s="31"/>
      <c r="AG668" s="31">
        <v>1</v>
      </c>
      <c r="AH668" s="31"/>
      <c r="AI668" s="32"/>
    </row>
    <row r="669" spans="1:35" x14ac:dyDescent="0.25">
      <c r="A669" s="27"/>
      <c r="B669" s="28"/>
      <c r="C669" s="29"/>
      <c r="D669" s="30"/>
      <c r="E669" s="28"/>
      <c r="F669" s="29"/>
      <c r="G669" s="29"/>
      <c r="H669" s="29"/>
      <c r="I669" s="29"/>
      <c r="J669" s="29"/>
      <c r="K669" s="29"/>
      <c r="L669" s="29"/>
      <c r="M669" s="29"/>
      <c r="N669" s="30"/>
      <c r="O669" s="77">
        <v>12</v>
      </c>
      <c r="P669" s="29" t="s">
        <v>256</v>
      </c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30"/>
      <c r="AD669" s="31"/>
      <c r="AE669" s="31"/>
      <c r="AF669" s="31"/>
      <c r="AG669" s="31">
        <v>1</v>
      </c>
      <c r="AH669" s="31"/>
      <c r="AI669" s="32"/>
    </row>
    <row r="670" spans="1:35" x14ac:dyDescent="0.25">
      <c r="A670" s="27"/>
      <c r="B670" s="28"/>
      <c r="C670" s="29"/>
      <c r="D670" s="30"/>
      <c r="E670" s="28"/>
      <c r="F670" s="29"/>
      <c r="G670" s="29"/>
      <c r="H670" s="29"/>
      <c r="I670" s="29"/>
      <c r="J670" s="29"/>
      <c r="K670" s="29"/>
      <c r="L670" s="29"/>
      <c r="M670" s="29"/>
      <c r="N670" s="30"/>
      <c r="O670" s="77">
        <v>13</v>
      </c>
      <c r="P670" s="29" t="s">
        <v>257</v>
      </c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30"/>
      <c r="AD670" s="31"/>
      <c r="AE670" s="31"/>
      <c r="AF670" s="31"/>
      <c r="AG670" s="31"/>
      <c r="AH670" s="31">
        <v>1</v>
      </c>
      <c r="AI670" s="32"/>
    </row>
    <row r="671" spans="1:35" x14ac:dyDescent="0.25">
      <c r="A671" s="27"/>
      <c r="B671" s="28"/>
      <c r="C671" s="29"/>
      <c r="D671" s="30"/>
      <c r="E671" s="28"/>
      <c r="F671" s="29"/>
      <c r="G671" s="29"/>
      <c r="H671" s="29"/>
      <c r="I671" s="29"/>
      <c r="J671" s="29"/>
      <c r="K671" s="29"/>
      <c r="L671" s="29"/>
      <c r="M671" s="29"/>
      <c r="N671" s="30"/>
      <c r="O671" s="77">
        <v>14</v>
      </c>
      <c r="P671" s="29" t="s">
        <v>258</v>
      </c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30"/>
      <c r="AD671" s="31"/>
      <c r="AE671" s="31"/>
      <c r="AF671" s="31"/>
      <c r="AG671" s="31"/>
      <c r="AH671" s="31">
        <v>1</v>
      </c>
      <c r="AI671" s="32"/>
    </row>
    <row r="672" spans="1:35" ht="15.75" thickBot="1" x14ac:dyDescent="0.3">
      <c r="A672" s="5"/>
      <c r="B672" s="17"/>
      <c r="C672" s="18"/>
      <c r="D672" s="19"/>
      <c r="E672" s="17"/>
      <c r="F672" s="18"/>
      <c r="G672" s="18"/>
      <c r="H672" s="18"/>
      <c r="I672" s="18"/>
      <c r="J672" s="18"/>
      <c r="K672" s="18"/>
      <c r="L672" s="18"/>
      <c r="M672" s="18"/>
      <c r="N672" s="19"/>
      <c r="O672" s="17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9"/>
      <c r="AD672" s="6"/>
      <c r="AE672" s="6"/>
      <c r="AF672" s="6"/>
      <c r="AG672" s="6"/>
      <c r="AH672" s="6"/>
      <c r="AI672" s="7"/>
    </row>
    <row r="673" spans="1:35" ht="15.75" thickTop="1" x14ac:dyDescent="0.25">
      <c r="A673" s="597"/>
      <c r="B673" s="272"/>
      <c r="C673" s="598"/>
      <c r="D673" s="273"/>
      <c r="E673" s="272"/>
      <c r="F673" s="598"/>
      <c r="G673" s="598"/>
      <c r="H673" s="598"/>
      <c r="I673" s="598"/>
      <c r="J673" s="598"/>
      <c r="K673" s="598"/>
      <c r="L673" s="598"/>
      <c r="M673" s="598"/>
      <c r="N673" s="273"/>
      <c r="O673" s="272"/>
      <c r="P673" s="598"/>
      <c r="Q673" s="598"/>
      <c r="R673" s="598"/>
      <c r="S673" s="598"/>
      <c r="T673" s="598"/>
      <c r="U673" s="598"/>
      <c r="V673" s="598"/>
      <c r="W673" s="598"/>
      <c r="X673" s="598"/>
      <c r="Y673" s="598"/>
      <c r="Z673" s="598"/>
      <c r="AA673" s="598"/>
      <c r="AB673" s="598"/>
      <c r="AC673" s="273"/>
      <c r="AD673" s="274"/>
      <c r="AE673" s="274"/>
      <c r="AF673" s="274"/>
      <c r="AG673" s="274"/>
      <c r="AH673" s="274"/>
      <c r="AI673" s="599"/>
    </row>
    <row r="674" spans="1:35" x14ac:dyDescent="0.25">
      <c r="A674" s="41" t="s">
        <v>16</v>
      </c>
      <c r="B674" s="42" t="s">
        <v>260</v>
      </c>
      <c r="C674" s="29"/>
      <c r="D674" s="30"/>
      <c r="E674" s="28"/>
      <c r="F674" s="29"/>
      <c r="G674" s="29"/>
      <c r="H674" s="29"/>
      <c r="I674" s="29"/>
      <c r="J674" s="29"/>
      <c r="K674" s="29"/>
      <c r="L674" s="29"/>
      <c r="M674" s="29"/>
      <c r="N674" s="30"/>
      <c r="O674" s="28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30"/>
      <c r="AD674" s="31"/>
      <c r="AE674" s="31"/>
      <c r="AF674" s="31"/>
      <c r="AG674" s="31"/>
      <c r="AH674" s="31"/>
      <c r="AI674" s="32"/>
    </row>
    <row r="675" spans="1:35" x14ac:dyDescent="0.25">
      <c r="A675" s="27"/>
      <c r="B675" s="28"/>
      <c r="C675" s="29"/>
      <c r="D675" s="30"/>
      <c r="E675" s="28"/>
      <c r="F675" s="29"/>
      <c r="G675" s="29"/>
      <c r="H675" s="29"/>
      <c r="I675" s="29"/>
      <c r="J675" s="29"/>
      <c r="K675" s="29"/>
      <c r="L675" s="29"/>
      <c r="M675" s="29"/>
      <c r="N675" s="30"/>
      <c r="O675" s="28">
        <v>1</v>
      </c>
      <c r="P675" s="29" t="s">
        <v>261</v>
      </c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30"/>
      <c r="AD675" s="31"/>
      <c r="AE675" s="31"/>
      <c r="AF675" s="31"/>
      <c r="AG675" s="31"/>
      <c r="AH675" s="31"/>
      <c r="AI675" s="32"/>
    </row>
    <row r="676" spans="1:35" x14ac:dyDescent="0.25">
      <c r="A676" s="27"/>
      <c r="B676" s="28"/>
      <c r="C676" s="29"/>
      <c r="D676" s="30"/>
      <c r="E676" s="28"/>
      <c r="F676" s="29"/>
      <c r="G676" s="29"/>
      <c r="H676" s="29"/>
      <c r="I676" s="29"/>
      <c r="J676" s="29"/>
      <c r="K676" s="29"/>
      <c r="L676" s="29"/>
      <c r="M676" s="29"/>
      <c r="N676" s="30"/>
      <c r="O676" s="28"/>
      <c r="P676" s="29" t="s">
        <v>262</v>
      </c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30"/>
      <c r="AD676" s="31"/>
      <c r="AE676" s="39">
        <f>AE260</f>
        <v>320.81</v>
      </c>
      <c r="AF676" s="31"/>
      <c r="AG676" s="31"/>
      <c r="AH676" s="31"/>
      <c r="AI676" s="32"/>
    </row>
    <row r="677" spans="1:35" x14ac:dyDescent="0.25">
      <c r="A677" s="27"/>
      <c r="B677" s="28"/>
      <c r="C677" s="29"/>
      <c r="D677" s="30"/>
      <c r="E677" s="28"/>
      <c r="F677" s="29"/>
      <c r="G677" s="29"/>
      <c r="H677" s="29"/>
      <c r="I677" s="29"/>
      <c r="J677" s="29"/>
      <c r="K677" s="29"/>
      <c r="L677" s="29"/>
      <c r="M677" s="29"/>
      <c r="N677" s="30"/>
      <c r="O677" s="28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30"/>
      <c r="AD677" s="31"/>
      <c r="AE677" s="31"/>
      <c r="AF677" s="31"/>
      <c r="AG677" s="31"/>
      <c r="AH677" s="31"/>
      <c r="AI677" s="32"/>
    </row>
    <row r="678" spans="1:35" x14ac:dyDescent="0.25">
      <c r="A678" s="27"/>
      <c r="B678" s="28"/>
      <c r="C678" s="29"/>
      <c r="D678" s="30"/>
      <c r="E678" s="28"/>
      <c r="F678" s="29"/>
      <c r="G678" s="29"/>
      <c r="H678" s="29"/>
      <c r="I678" s="29"/>
      <c r="J678" s="29"/>
      <c r="K678" s="29"/>
      <c r="L678" s="29"/>
      <c r="M678" s="29"/>
      <c r="N678" s="30"/>
      <c r="O678" s="28">
        <v>2</v>
      </c>
      <c r="P678" s="29" t="s">
        <v>263</v>
      </c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30"/>
      <c r="AD678" s="31"/>
      <c r="AE678" s="31"/>
      <c r="AF678" s="31"/>
      <c r="AG678" s="31"/>
      <c r="AH678" s="31"/>
      <c r="AI678" s="32"/>
    </row>
    <row r="679" spans="1:35" x14ac:dyDescent="0.25">
      <c r="A679" s="27"/>
      <c r="B679" s="28"/>
      <c r="C679" s="29"/>
      <c r="D679" s="30"/>
      <c r="E679" s="28"/>
      <c r="F679" s="29"/>
      <c r="G679" s="29"/>
      <c r="H679" s="29"/>
      <c r="I679" s="29"/>
      <c r="J679" s="29"/>
      <c r="K679" s="29"/>
      <c r="L679" s="29"/>
      <c r="M679" s="29"/>
      <c r="N679" s="30"/>
      <c r="O679" s="28"/>
      <c r="P679" s="29" t="s">
        <v>264</v>
      </c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30"/>
      <c r="AD679" s="31"/>
      <c r="AE679" s="39">
        <f>AE475</f>
        <v>80</v>
      </c>
      <c r="AF679" s="31"/>
      <c r="AG679" s="31"/>
      <c r="AH679" s="31"/>
      <c r="AI679" s="32"/>
    </row>
    <row r="680" spans="1:35" x14ac:dyDescent="0.25">
      <c r="A680" s="27"/>
      <c r="B680" s="28"/>
      <c r="C680" s="29"/>
      <c r="D680" s="30"/>
      <c r="E680" s="28"/>
      <c r="F680" s="29"/>
      <c r="G680" s="29"/>
      <c r="H680" s="29"/>
      <c r="I680" s="29"/>
      <c r="J680" s="29"/>
      <c r="K680" s="29"/>
      <c r="L680" s="29"/>
      <c r="M680" s="29"/>
      <c r="N680" s="30"/>
      <c r="O680" s="28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30"/>
      <c r="AD680" s="31"/>
      <c r="AE680" s="31"/>
      <c r="AF680" s="31"/>
      <c r="AG680" s="31"/>
      <c r="AH680" s="31"/>
      <c r="AI680" s="32"/>
    </row>
    <row r="681" spans="1:35" x14ac:dyDescent="0.25">
      <c r="A681" s="27"/>
      <c r="B681" s="28"/>
      <c r="C681" s="29"/>
      <c r="D681" s="30"/>
      <c r="E681" s="28"/>
      <c r="F681" s="29"/>
      <c r="G681" s="29"/>
      <c r="H681" s="29"/>
      <c r="I681" s="29"/>
      <c r="J681" s="29"/>
      <c r="K681" s="29"/>
      <c r="L681" s="29"/>
      <c r="M681" s="29"/>
      <c r="N681" s="30"/>
      <c r="O681" s="28">
        <v>3</v>
      </c>
      <c r="P681" s="29" t="s">
        <v>265</v>
      </c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30"/>
      <c r="AD681" s="31"/>
      <c r="AE681" s="37">
        <f>R687+R694</f>
        <v>6.0587999999999997</v>
      </c>
      <c r="AF681" s="31"/>
      <c r="AG681" s="31"/>
      <c r="AH681" s="31"/>
      <c r="AI681" s="32"/>
    </row>
    <row r="682" spans="1:35" x14ac:dyDescent="0.25">
      <c r="A682" s="27"/>
      <c r="B682" s="28"/>
      <c r="C682" s="29"/>
      <c r="D682" s="30"/>
      <c r="E682" s="28"/>
      <c r="F682" s="29"/>
      <c r="G682" s="29"/>
      <c r="H682" s="29"/>
      <c r="I682" s="29"/>
      <c r="J682" s="29"/>
      <c r="K682" s="29"/>
      <c r="L682" s="29"/>
      <c r="M682" s="29"/>
      <c r="N682" s="30"/>
      <c r="O682" s="28"/>
      <c r="P682" s="29">
        <v>1</v>
      </c>
      <c r="Q682" s="29" t="s">
        <v>267</v>
      </c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30"/>
      <c r="AD682" s="31"/>
      <c r="AE682" s="31"/>
      <c r="AF682" s="31"/>
      <c r="AG682" s="31"/>
      <c r="AH682" s="31"/>
      <c r="AI682" s="32"/>
    </row>
    <row r="683" spans="1:35" x14ac:dyDescent="0.25">
      <c r="A683" s="27"/>
      <c r="B683" s="28"/>
      <c r="C683" s="29"/>
      <c r="D683" s="30"/>
      <c r="E683" s="28"/>
      <c r="F683" s="29"/>
      <c r="G683" s="29"/>
      <c r="H683" s="29"/>
      <c r="I683" s="29"/>
      <c r="J683" s="29"/>
      <c r="K683" s="29"/>
      <c r="L683" s="29"/>
      <c r="M683" s="29"/>
      <c r="N683" s="30"/>
      <c r="O683" s="28"/>
      <c r="P683" s="29"/>
      <c r="Q683" s="29" t="s">
        <v>21</v>
      </c>
      <c r="R683" s="29"/>
      <c r="S683" s="29">
        <f>S486+S506+S525+S538+S554+S564+S576</f>
        <v>27.540000000000003</v>
      </c>
      <c r="T683" s="29" t="s">
        <v>127</v>
      </c>
      <c r="U683" s="29"/>
      <c r="V683" s="29"/>
      <c r="W683" s="29"/>
      <c r="X683" s="29"/>
      <c r="Y683" s="29"/>
      <c r="Z683" s="29"/>
      <c r="AA683" s="29"/>
      <c r="AB683" s="29"/>
      <c r="AC683" s="30"/>
      <c r="AD683" s="31"/>
      <c r="AE683" s="31"/>
      <c r="AF683" s="31"/>
      <c r="AG683" s="31"/>
      <c r="AH683" s="31"/>
      <c r="AI683" s="32"/>
    </row>
    <row r="684" spans="1:35" x14ac:dyDescent="0.25">
      <c r="A684" s="27"/>
      <c r="B684" s="28"/>
      <c r="C684" s="29"/>
      <c r="D684" s="30"/>
      <c r="E684" s="28"/>
      <c r="F684" s="29"/>
      <c r="G684" s="29"/>
      <c r="H684" s="29"/>
      <c r="I684" s="29"/>
      <c r="J684" s="29"/>
      <c r="K684" s="29"/>
      <c r="L684" s="29"/>
      <c r="M684" s="29"/>
      <c r="N684" s="30"/>
      <c r="O684" s="28"/>
      <c r="P684" s="29"/>
      <c r="Q684" s="29" t="s">
        <v>22</v>
      </c>
      <c r="R684" s="29"/>
      <c r="S684" s="29">
        <v>0.05</v>
      </c>
      <c r="T684" s="38" t="s">
        <v>19</v>
      </c>
      <c r="U684" s="29">
        <v>0.12</v>
      </c>
      <c r="V684" s="38" t="s">
        <v>19</v>
      </c>
      <c r="W684" s="29">
        <v>0.05</v>
      </c>
      <c r="X684" s="29"/>
      <c r="Y684" s="29"/>
      <c r="Z684" s="29"/>
      <c r="AA684" s="29"/>
      <c r="AB684" s="29"/>
      <c r="AC684" s="30"/>
      <c r="AD684" s="31"/>
      <c r="AE684" s="31"/>
      <c r="AF684" s="31"/>
      <c r="AG684" s="31"/>
      <c r="AH684" s="31"/>
      <c r="AI684" s="32"/>
    </row>
    <row r="685" spans="1:35" x14ac:dyDescent="0.25">
      <c r="A685" s="27"/>
      <c r="B685" s="28"/>
      <c r="C685" s="29"/>
      <c r="D685" s="30"/>
      <c r="E685" s="28"/>
      <c r="F685" s="29"/>
      <c r="G685" s="29"/>
      <c r="H685" s="29"/>
      <c r="I685" s="29"/>
      <c r="J685" s="29"/>
      <c r="K685" s="29"/>
      <c r="L685" s="29"/>
      <c r="M685" s="29"/>
      <c r="N685" s="30"/>
      <c r="O685" s="28"/>
      <c r="P685" s="29"/>
      <c r="Q685" s="29"/>
      <c r="R685" s="29"/>
      <c r="S685" s="29">
        <f>S684+U684+W684</f>
        <v>0.21999999999999997</v>
      </c>
      <c r="T685" s="29" t="s">
        <v>127</v>
      </c>
      <c r="U685" s="29"/>
      <c r="V685" s="29"/>
      <c r="W685" s="29"/>
      <c r="X685" s="29"/>
      <c r="Y685" s="29"/>
      <c r="Z685" s="29"/>
      <c r="AA685" s="29"/>
      <c r="AB685" s="29"/>
      <c r="AC685" s="30"/>
      <c r="AD685" s="31"/>
      <c r="AE685" s="31"/>
      <c r="AF685" s="31"/>
      <c r="AG685" s="31"/>
      <c r="AH685" s="31"/>
      <c r="AI685" s="32"/>
    </row>
    <row r="686" spans="1:35" x14ac:dyDescent="0.25">
      <c r="A686" s="27"/>
      <c r="B686" s="28"/>
      <c r="C686" s="29"/>
      <c r="D686" s="30"/>
      <c r="E686" s="28"/>
      <c r="F686" s="29"/>
      <c r="G686" s="29"/>
      <c r="H686" s="29"/>
      <c r="I686" s="29"/>
      <c r="J686" s="29"/>
      <c r="K686" s="29"/>
      <c r="L686" s="29"/>
      <c r="M686" s="29"/>
      <c r="N686" s="30"/>
      <c r="O686" s="28"/>
      <c r="P686" s="29"/>
      <c r="Q686" s="29" t="s">
        <v>266</v>
      </c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30"/>
      <c r="AD686" s="31"/>
      <c r="AE686" s="31"/>
      <c r="AF686" s="31"/>
      <c r="AG686" s="31"/>
      <c r="AH686" s="31"/>
      <c r="AI686" s="32"/>
    </row>
    <row r="687" spans="1:35" x14ac:dyDescent="0.25">
      <c r="A687" s="27"/>
      <c r="B687" s="28"/>
      <c r="C687" s="29"/>
      <c r="D687" s="30"/>
      <c r="E687" s="28"/>
      <c r="F687" s="29"/>
      <c r="G687" s="29"/>
      <c r="H687" s="29"/>
      <c r="I687" s="29"/>
      <c r="J687" s="29"/>
      <c r="K687" s="29"/>
      <c r="L687" s="29"/>
      <c r="M687" s="29"/>
      <c r="N687" s="30"/>
      <c r="O687" s="28"/>
      <c r="P687" s="29"/>
      <c r="Q687" s="43" t="s">
        <v>29</v>
      </c>
      <c r="R687" s="29">
        <f>S683*S685</f>
        <v>6.0587999999999997</v>
      </c>
      <c r="S687" s="38" t="s">
        <v>82</v>
      </c>
      <c r="T687" s="29"/>
      <c r="U687" s="38"/>
      <c r="V687" s="29"/>
      <c r="W687" s="29"/>
      <c r="X687" s="29"/>
      <c r="Y687" s="29"/>
      <c r="Z687" s="29"/>
      <c r="AA687" s="29"/>
      <c r="AB687" s="29"/>
      <c r="AC687" s="30"/>
      <c r="AD687" s="31"/>
      <c r="AE687" s="31"/>
      <c r="AF687" s="31"/>
      <c r="AG687" s="31"/>
      <c r="AH687" s="31"/>
      <c r="AI687" s="32"/>
    </row>
    <row r="688" spans="1:35" x14ac:dyDescent="0.25">
      <c r="A688" s="27"/>
      <c r="B688" s="28"/>
      <c r="C688" s="29"/>
      <c r="D688" s="30"/>
      <c r="E688" s="28"/>
      <c r="F688" s="29"/>
      <c r="G688" s="29"/>
      <c r="H688" s="29"/>
      <c r="I688" s="29"/>
      <c r="J688" s="29"/>
      <c r="K688" s="29"/>
      <c r="L688" s="29"/>
      <c r="M688" s="29"/>
      <c r="N688" s="30"/>
      <c r="O688" s="28"/>
      <c r="P688" s="29"/>
      <c r="Q688" s="43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30"/>
      <c r="AD688" s="31"/>
      <c r="AE688" s="31"/>
      <c r="AF688" s="31"/>
      <c r="AG688" s="31"/>
      <c r="AH688" s="31"/>
      <c r="AI688" s="32"/>
    </row>
    <row r="689" spans="1:35" x14ac:dyDescent="0.25">
      <c r="A689" s="27"/>
      <c r="B689" s="28"/>
      <c r="C689" s="29"/>
      <c r="D689" s="30"/>
      <c r="E689" s="28"/>
      <c r="F689" s="29"/>
      <c r="G689" s="29"/>
      <c r="H689" s="29"/>
      <c r="I689" s="29"/>
      <c r="J689" s="29"/>
      <c r="K689" s="29"/>
      <c r="L689" s="29"/>
      <c r="M689" s="29"/>
      <c r="N689" s="30"/>
      <c r="O689" s="28"/>
      <c r="P689" s="29">
        <v>2</v>
      </c>
      <c r="Q689" s="29" t="s">
        <v>268</v>
      </c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30"/>
      <c r="AD689" s="31"/>
      <c r="AE689" s="31"/>
      <c r="AF689" s="31"/>
      <c r="AG689" s="31"/>
      <c r="AH689" s="31"/>
      <c r="AI689" s="32"/>
    </row>
    <row r="690" spans="1:35" x14ac:dyDescent="0.25">
      <c r="A690" s="27"/>
      <c r="B690" s="28"/>
      <c r="C690" s="29"/>
      <c r="D690" s="30"/>
      <c r="E690" s="28"/>
      <c r="F690" s="29"/>
      <c r="G690" s="29"/>
      <c r="H690" s="29"/>
      <c r="I690" s="29"/>
      <c r="J690" s="29"/>
      <c r="K690" s="29"/>
      <c r="L690" s="29"/>
      <c r="M690" s="29"/>
      <c r="N690" s="30"/>
      <c r="O690" s="28"/>
      <c r="P690" s="29"/>
      <c r="Q690" s="29" t="s">
        <v>21</v>
      </c>
      <c r="R690" s="29"/>
      <c r="S690" s="79">
        <f>AE466</f>
        <v>0</v>
      </c>
      <c r="T690" s="29" t="s">
        <v>127</v>
      </c>
      <c r="U690" s="29"/>
      <c r="V690" s="29"/>
      <c r="W690" s="29"/>
      <c r="X690" s="29"/>
      <c r="Y690" s="29"/>
      <c r="Z690" s="29"/>
      <c r="AA690" s="29"/>
      <c r="AB690" s="29"/>
      <c r="AC690" s="30"/>
      <c r="AD690" s="31"/>
      <c r="AE690" s="31"/>
      <c r="AF690" s="31"/>
      <c r="AG690" s="31"/>
      <c r="AH690" s="31"/>
      <c r="AI690" s="32"/>
    </row>
    <row r="691" spans="1:35" x14ac:dyDescent="0.25">
      <c r="A691" s="27"/>
      <c r="B691" s="28"/>
      <c r="C691" s="29"/>
      <c r="D691" s="30"/>
      <c r="E691" s="28"/>
      <c r="F691" s="29"/>
      <c r="G691" s="29"/>
      <c r="H691" s="29"/>
      <c r="I691" s="29"/>
      <c r="J691" s="29"/>
      <c r="K691" s="29"/>
      <c r="L691" s="29"/>
      <c r="M691" s="29"/>
      <c r="N691" s="30"/>
      <c r="O691" s="28"/>
      <c r="P691" s="29"/>
      <c r="Q691" s="29" t="s">
        <v>22</v>
      </c>
      <c r="R691" s="79"/>
      <c r="S691" s="29">
        <v>0.2</v>
      </c>
      <c r="T691" s="29" t="s">
        <v>127</v>
      </c>
      <c r="U691" s="29"/>
      <c r="V691" s="29"/>
      <c r="W691" s="29"/>
      <c r="X691" s="29"/>
      <c r="Y691" s="29"/>
      <c r="Z691" s="29"/>
      <c r="AA691" s="29"/>
      <c r="AB691" s="29"/>
      <c r="AC691" s="30"/>
      <c r="AD691" s="31"/>
      <c r="AE691" s="31"/>
      <c r="AF691" s="31"/>
      <c r="AG691" s="31"/>
      <c r="AH691" s="31"/>
      <c r="AI691" s="32"/>
    </row>
    <row r="692" spans="1:35" x14ac:dyDescent="0.25">
      <c r="A692" s="27"/>
      <c r="B692" s="28"/>
      <c r="C692" s="29"/>
      <c r="D692" s="30"/>
      <c r="E692" s="28"/>
      <c r="F692" s="29"/>
      <c r="G692" s="29"/>
      <c r="H692" s="29"/>
      <c r="I692" s="29"/>
      <c r="J692" s="29"/>
      <c r="K692" s="29"/>
      <c r="L692" s="29"/>
      <c r="M692" s="29"/>
      <c r="N692" s="30"/>
      <c r="O692" s="28"/>
      <c r="P692" s="29"/>
      <c r="Q692" s="29" t="s">
        <v>269</v>
      </c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30"/>
      <c r="AD692" s="31"/>
      <c r="AE692" s="31"/>
      <c r="AF692" s="31"/>
      <c r="AG692" s="31"/>
      <c r="AH692" s="31"/>
      <c r="AI692" s="32"/>
    </row>
    <row r="693" spans="1:35" x14ac:dyDescent="0.25">
      <c r="A693" s="27"/>
      <c r="B693" s="28"/>
      <c r="C693" s="29"/>
      <c r="D693" s="30"/>
      <c r="E693" s="28"/>
      <c r="F693" s="29"/>
      <c r="G693" s="29"/>
      <c r="H693" s="29"/>
      <c r="I693" s="29"/>
      <c r="J693" s="29"/>
      <c r="K693" s="29"/>
      <c r="L693" s="29"/>
      <c r="M693" s="29"/>
      <c r="N693" s="30"/>
      <c r="O693" s="28"/>
      <c r="P693" s="29"/>
      <c r="Q693" s="43" t="s">
        <v>29</v>
      </c>
      <c r="R693" s="79">
        <f>S690</f>
        <v>0</v>
      </c>
      <c r="S693" s="38" t="s">
        <v>16</v>
      </c>
      <c r="T693" s="29">
        <f>S691</f>
        <v>0.2</v>
      </c>
      <c r="U693" s="29"/>
      <c r="V693" s="29"/>
      <c r="W693" s="29"/>
      <c r="X693" s="29"/>
      <c r="Y693" s="29"/>
      <c r="Z693" s="29"/>
      <c r="AA693" s="29"/>
      <c r="AB693" s="29"/>
      <c r="AC693" s="30"/>
      <c r="AD693" s="31"/>
      <c r="AE693" s="31"/>
      <c r="AF693" s="31"/>
      <c r="AG693" s="31"/>
      <c r="AH693" s="31"/>
      <c r="AI693" s="32"/>
    </row>
    <row r="694" spans="1:35" x14ac:dyDescent="0.25">
      <c r="A694" s="27"/>
      <c r="B694" s="28"/>
      <c r="C694" s="29"/>
      <c r="D694" s="30"/>
      <c r="E694" s="28"/>
      <c r="F694" s="29"/>
      <c r="G694" s="29"/>
      <c r="H694" s="29"/>
      <c r="I694" s="29"/>
      <c r="J694" s="29"/>
      <c r="K694" s="29"/>
      <c r="L694" s="29"/>
      <c r="M694" s="29"/>
      <c r="N694" s="30"/>
      <c r="O694" s="28"/>
      <c r="P694" s="29"/>
      <c r="Q694" s="43" t="s">
        <v>29</v>
      </c>
      <c r="R694" s="29">
        <f>R693*T693</f>
        <v>0</v>
      </c>
      <c r="S694" s="29" t="s">
        <v>82</v>
      </c>
      <c r="T694" s="29"/>
      <c r="U694" s="29"/>
      <c r="V694" s="29"/>
      <c r="W694" s="29"/>
      <c r="X694" s="29"/>
      <c r="Y694" s="29"/>
      <c r="Z694" s="29"/>
      <c r="AA694" s="29"/>
      <c r="AB694" s="29"/>
      <c r="AC694" s="30"/>
      <c r="AD694" s="31"/>
      <c r="AE694" s="31"/>
      <c r="AF694" s="31"/>
      <c r="AG694" s="31"/>
      <c r="AH694" s="31"/>
      <c r="AI694" s="32"/>
    </row>
    <row r="695" spans="1:35" ht="15.75" thickBot="1" x14ac:dyDescent="0.3">
      <c r="A695" s="5"/>
      <c r="B695" s="17"/>
      <c r="C695" s="18"/>
      <c r="D695" s="19"/>
      <c r="E695" s="17"/>
      <c r="F695" s="18"/>
      <c r="G695" s="18"/>
      <c r="H695" s="18"/>
      <c r="I695" s="18"/>
      <c r="J695" s="18"/>
      <c r="K695" s="18"/>
      <c r="L695" s="18"/>
      <c r="M695" s="18"/>
      <c r="N695" s="19"/>
      <c r="O695" s="17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9"/>
      <c r="AD695" s="6"/>
      <c r="AE695" s="6"/>
      <c r="AF695" s="6"/>
      <c r="AG695" s="6"/>
      <c r="AH695" s="6"/>
      <c r="AI695" s="7"/>
    </row>
    <row r="696" spans="1:35" ht="15.75" thickTop="1" x14ac:dyDescent="0.25">
      <c r="A696" s="597"/>
      <c r="B696" s="272"/>
      <c r="C696" s="598"/>
      <c r="D696" s="273"/>
      <c r="E696" s="272"/>
      <c r="F696" s="598"/>
      <c r="G696" s="598"/>
      <c r="H696" s="598"/>
      <c r="I696" s="598"/>
      <c r="J696" s="598"/>
      <c r="K696" s="598"/>
      <c r="L696" s="598"/>
      <c r="M696" s="598"/>
      <c r="N696" s="273"/>
      <c r="O696" s="272"/>
      <c r="P696" s="598"/>
      <c r="Q696" s="598"/>
      <c r="R696" s="598"/>
      <c r="S696" s="598"/>
      <c r="T696" s="598"/>
      <c r="U696" s="598"/>
      <c r="V696" s="598"/>
      <c r="W696" s="598"/>
      <c r="X696" s="598"/>
      <c r="Y696" s="598"/>
      <c r="Z696" s="598"/>
      <c r="AA696" s="598"/>
      <c r="AB696" s="598"/>
      <c r="AC696" s="273"/>
      <c r="AD696" s="274"/>
      <c r="AE696" s="274"/>
      <c r="AF696" s="274"/>
      <c r="AG696" s="274"/>
      <c r="AH696" s="274"/>
      <c r="AI696" s="599"/>
    </row>
    <row r="697" spans="1:35" x14ac:dyDescent="0.25">
      <c r="A697" s="41" t="s">
        <v>270</v>
      </c>
      <c r="B697" s="42" t="s">
        <v>271</v>
      </c>
      <c r="C697" s="29"/>
      <c r="D697" s="30"/>
      <c r="E697" s="28"/>
      <c r="F697" s="29"/>
      <c r="G697" s="29"/>
      <c r="H697" s="29"/>
      <c r="I697" s="29"/>
      <c r="J697" s="29"/>
      <c r="K697" s="29"/>
      <c r="L697" s="29"/>
      <c r="M697" s="29"/>
      <c r="N697" s="30"/>
      <c r="O697" s="28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30"/>
      <c r="AD697" s="31"/>
      <c r="AE697" s="31"/>
      <c r="AF697" s="31"/>
      <c r="AG697" s="31"/>
      <c r="AH697" s="31"/>
      <c r="AI697" s="32"/>
    </row>
    <row r="698" spans="1:35" x14ac:dyDescent="0.25">
      <c r="A698" s="27"/>
      <c r="B698" s="28"/>
      <c r="C698" s="29"/>
      <c r="D698" s="30"/>
      <c r="E698" s="28"/>
      <c r="F698" s="29"/>
      <c r="G698" s="29"/>
      <c r="H698" s="29"/>
      <c r="I698" s="29"/>
      <c r="J698" s="29"/>
      <c r="K698" s="29"/>
      <c r="L698" s="29"/>
      <c r="M698" s="29"/>
      <c r="N698" s="30"/>
      <c r="O698" s="28">
        <v>1</v>
      </c>
      <c r="P698" s="29" t="s">
        <v>272</v>
      </c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30"/>
      <c r="AD698" s="31"/>
      <c r="AE698" s="39">
        <f>S704+S710+S717</f>
        <v>12.774000000000001</v>
      </c>
      <c r="AF698" s="31"/>
      <c r="AG698" s="31"/>
      <c r="AH698" s="31"/>
      <c r="AI698" s="32"/>
    </row>
    <row r="699" spans="1:35" x14ac:dyDescent="0.25">
      <c r="A699" s="27"/>
      <c r="B699" s="28"/>
      <c r="C699" s="29"/>
      <c r="D699" s="30"/>
      <c r="E699" s="28"/>
      <c r="F699" s="29"/>
      <c r="G699" s="29"/>
      <c r="H699" s="29"/>
      <c r="I699" s="29"/>
      <c r="J699" s="29"/>
      <c r="K699" s="29"/>
      <c r="L699" s="29"/>
      <c r="M699" s="29"/>
      <c r="N699" s="30"/>
      <c r="O699" s="28"/>
      <c r="P699" s="29" t="s">
        <v>160</v>
      </c>
      <c r="Q699" s="29" t="s">
        <v>273</v>
      </c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30"/>
      <c r="AD699" s="31"/>
      <c r="AE699" s="31"/>
      <c r="AF699" s="31"/>
      <c r="AG699" s="31"/>
      <c r="AH699" s="31"/>
      <c r="AI699" s="32"/>
    </row>
    <row r="700" spans="1:35" x14ac:dyDescent="0.25">
      <c r="A700" s="27"/>
      <c r="B700" s="28"/>
      <c r="C700" s="29"/>
      <c r="D700" s="30"/>
      <c r="E700" s="28"/>
      <c r="F700" s="29"/>
      <c r="G700" s="29"/>
      <c r="H700" s="29"/>
      <c r="I700" s="29"/>
      <c r="J700" s="29"/>
      <c r="K700" s="29"/>
      <c r="L700" s="29"/>
      <c r="M700" s="29"/>
      <c r="N700" s="30"/>
      <c r="O700" s="28"/>
      <c r="P700" s="29"/>
      <c r="Q700" s="29" t="s">
        <v>21</v>
      </c>
      <c r="R700" s="29"/>
      <c r="S700" s="29" t="s">
        <v>29</v>
      </c>
      <c r="T700" s="58">
        <v>2.85</v>
      </c>
      <c r="U700" s="29"/>
      <c r="V700" s="29"/>
      <c r="W700" s="29"/>
      <c r="X700" s="29"/>
      <c r="Y700" s="29"/>
      <c r="Z700" s="29"/>
      <c r="AA700" s="29"/>
      <c r="AB700" s="29"/>
      <c r="AC700" s="30"/>
      <c r="AD700" s="31"/>
      <c r="AE700" s="31"/>
      <c r="AF700" s="31"/>
      <c r="AG700" s="31"/>
      <c r="AH700" s="31"/>
      <c r="AI700" s="32"/>
    </row>
    <row r="701" spans="1:35" x14ac:dyDescent="0.25">
      <c r="A701" s="27"/>
      <c r="B701" s="28"/>
      <c r="C701" s="29"/>
      <c r="D701" s="30"/>
      <c r="E701" s="28"/>
      <c r="F701" s="29"/>
      <c r="G701" s="29"/>
      <c r="H701" s="29"/>
      <c r="I701" s="29"/>
      <c r="J701" s="29"/>
      <c r="K701" s="29"/>
      <c r="L701" s="29"/>
      <c r="M701" s="29"/>
      <c r="N701" s="30"/>
      <c r="O701" s="28"/>
      <c r="P701" s="29"/>
      <c r="Q701" s="29" t="s">
        <v>69</v>
      </c>
      <c r="R701" s="29"/>
      <c r="S701" s="29" t="s">
        <v>29</v>
      </c>
      <c r="T701" s="58">
        <v>1.8</v>
      </c>
      <c r="U701" s="29"/>
      <c r="V701" s="29"/>
      <c r="W701" s="29"/>
      <c r="X701" s="29"/>
      <c r="Y701" s="29"/>
      <c r="Z701" s="29"/>
      <c r="AA701" s="29"/>
      <c r="AB701" s="29"/>
      <c r="AC701" s="30"/>
      <c r="AD701" s="31"/>
      <c r="AE701" s="31"/>
      <c r="AF701" s="31"/>
      <c r="AG701" s="31"/>
      <c r="AH701" s="31"/>
      <c r="AI701" s="32"/>
    </row>
    <row r="702" spans="1:35" x14ac:dyDescent="0.25">
      <c r="A702" s="27"/>
      <c r="B702" s="28"/>
      <c r="C702" s="29"/>
      <c r="D702" s="30"/>
      <c r="E702" s="28"/>
      <c r="F702" s="29"/>
      <c r="G702" s="29"/>
      <c r="H702" s="29"/>
      <c r="I702" s="29"/>
      <c r="J702" s="29"/>
      <c r="K702" s="29"/>
      <c r="L702" s="29"/>
      <c r="M702" s="29"/>
      <c r="N702" s="30"/>
      <c r="O702" s="28"/>
      <c r="P702" s="29"/>
      <c r="Q702" s="29" t="s">
        <v>22</v>
      </c>
      <c r="R702" s="29"/>
      <c r="S702" s="29" t="s">
        <v>29</v>
      </c>
      <c r="T702" s="58">
        <v>1.5</v>
      </c>
      <c r="U702" s="29"/>
      <c r="V702" s="29"/>
      <c r="W702" s="29"/>
      <c r="X702" s="29"/>
      <c r="Y702" s="29"/>
      <c r="Z702" s="29"/>
      <c r="AA702" s="29"/>
      <c r="AB702" s="29"/>
      <c r="AC702" s="30"/>
      <c r="AD702" s="31"/>
      <c r="AE702" s="31"/>
      <c r="AF702" s="31"/>
      <c r="AG702" s="31"/>
      <c r="AH702" s="31"/>
      <c r="AI702" s="32"/>
    </row>
    <row r="703" spans="1:35" x14ac:dyDescent="0.25">
      <c r="A703" s="27"/>
      <c r="B703" s="28"/>
      <c r="C703" s="29"/>
      <c r="D703" s="30"/>
      <c r="E703" s="28"/>
      <c r="F703" s="29"/>
      <c r="G703" s="29"/>
      <c r="H703" s="29"/>
      <c r="I703" s="29"/>
      <c r="J703" s="29"/>
      <c r="K703" s="29"/>
      <c r="L703" s="29"/>
      <c r="M703" s="29"/>
      <c r="N703" s="30"/>
      <c r="O703" s="28"/>
      <c r="P703" s="29"/>
      <c r="Q703" s="29" t="s">
        <v>274</v>
      </c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30"/>
      <c r="AD703" s="31"/>
      <c r="AE703" s="31"/>
      <c r="AF703" s="31"/>
      <c r="AG703" s="31"/>
      <c r="AH703" s="31"/>
      <c r="AI703" s="32"/>
    </row>
    <row r="704" spans="1:35" x14ac:dyDescent="0.25">
      <c r="A704" s="27"/>
      <c r="B704" s="28"/>
      <c r="C704" s="29"/>
      <c r="D704" s="30"/>
      <c r="E704" s="28"/>
      <c r="F704" s="29"/>
      <c r="G704" s="29"/>
      <c r="H704" s="29"/>
      <c r="I704" s="29"/>
      <c r="J704" s="29"/>
      <c r="K704" s="29"/>
      <c r="L704" s="29"/>
      <c r="M704" s="29"/>
      <c r="N704" s="30"/>
      <c r="O704" s="28"/>
      <c r="P704" s="29"/>
      <c r="Q704" s="29" t="s">
        <v>72</v>
      </c>
      <c r="R704" s="29"/>
      <c r="S704" s="29">
        <f>T700*T701*T702</f>
        <v>7.6950000000000003</v>
      </c>
      <c r="T704" s="29" t="s">
        <v>158</v>
      </c>
      <c r="U704" s="29"/>
      <c r="V704" s="29"/>
      <c r="W704" s="29"/>
      <c r="X704" s="29"/>
      <c r="Y704" s="29"/>
      <c r="Z704" s="29"/>
      <c r="AA704" s="29"/>
      <c r="AB704" s="29"/>
      <c r="AC704" s="30"/>
      <c r="AD704" s="31"/>
      <c r="AE704" s="31"/>
      <c r="AF704" s="31"/>
      <c r="AG704" s="31"/>
      <c r="AH704" s="31"/>
      <c r="AI704" s="32"/>
    </row>
    <row r="705" spans="1:35" x14ac:dyDescent="0.25">
      <c r="A705" s="27"/>
      <c r="B705" s="28"/>
      <c r="C705" s="29"/>
      <c r="D705" s="30"/>
      <c r="E705" s="28"/>
      <c r="F705" s="29"/>
      <c r="G705" s="29"/>
      <c r="H705" s="29"/>
      <c r="I705" s="29"/>
      <c r="J705" s="29"/>
      <c r="K705" s="29"/>
      <c r="L705" s="29"/>
      <c r="M705" s="29"/>
      <c r="N705" s="30"/>
      <c r="O705" s="28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30"/>
      <c r="AD705" s="31"/>
      <c r="AE705" s="31"/>
      <c r="AF705" s="31"/>
      <c r="AG705" s="31"/>
      <c r="AH705" s="31"/>
      <c r="AI705" s="32"/>
    </row>
    <row r="706" spans="1:35" x14ac:dyDescent="0.25">
      <c r="A706" s="27"/>
      <c r="B706" s="28"/>
      <c r="C706" s="29"/>
      <c r="D706" s="30"/>
      <c r="E706" s="28"/>
      <c r="F706" s="29"/>
      <c r="G706" s="29"/>
      <c r="H706" s="29"/>
      <c r="I706" s="29"/>
      <c r="J706" s="29"/>
      <c r="K706" s="29"/>
      <c r="L706" s="29"/>
      <c r="M706" s="29"/>
      <c r="N706" s="30"/>
      <c r="O706" s="28"/>
      <c r="P706" s="29"/>
      <c r="Q706" s="29" t="s">
        <v>21</v>
      </c>
      <c r="R706" s="29"/>
      <c r="S706" s="29" t="s">
        <v>29</v>
      </c>
      <c r="T706" s="58">
        <v>0.7</v>
      </c>
      <c r="U706" s="29"/>
      <c r="V706" s="29"/>
      <c r="W706" s="29"/>
      <c r="X706" s="29"/>
      <c r="Y706" s="29"/>
      <c r="Z706" s="29"/>
      <c r="AA706" s="29"/>
      <c r="AB706" s="29"/>
      <c r="AC706" s="30"/>
      <c r="AD706" s="31"/>
      <c r="AE706" s="31"/>
      <c r="AF706" s="31"/>
      <c r="AG706" s="31"/>
      <c r="AH706" s="31"/>
      <c r="AI706" s="32"/>
    </row>
    <row r="707" spans="1:35" x14ac:dyDescent="0.25">
      <c r="A707" s="27"/>
      <c r="B707" s="28"/>
      <c r="C707" s="29"/>
      <c r="D707" s="30"/>
      <c r="E707" s="28"/>
      <c r="F707" s="29"/>
      <c r="G707" s="29"/>
      <c r="H707" s="29"/>
      <c r="I707" s="29"/>
      <c r="J707" s="29"/>
      <c r="K707" s="29"/>
      <c r="L707" s="29"/>
      <c r="M707" s="29"/>
      <c r="N707" s="30"/>
      <c r="O707" s="28"/>
      <c r="P707" s="29"/>
      <c r="Q707" s="29" t="s">
        <v>69</v>
      </c>
      <c r="R707" s="29"/>
      <c r="S707" s="29" t="s">
        <v>29</v>
      </c>
      <c r="T707" s="58">
        <v>0.7</v>
      </c>
      <c r="U707" s="29"/>
      <c r="V707" s="29"/>
      <c r="W707" s="29"/>
      <c r="X707" s="29"/>
      <c r="Y707" s="29"/>
      <c r="Z707" s="29"/>
      <c r="AA707" s="29"/>
      <c r="AB707" s="29"/>
      <c r="AC707" s="30"/>
      <c r="AD707" s="31"/>
      <c r="AE707" s="31"/>
      <c r="AF707" s="31"/>
      <c r="AG707" s="31"/>
      <c r="AH707" s="31"/>
      <c r="AI707" s="32"/>
    </row>
    <row r="708" spans="1:35" x14ac:dyDescent="0.25">
      <c r="A708" s="27"/>
      <c r="B708" s="28"/>
      <c r="C708" s="29"/>
      <c r="D708" s="30"/>
      <c r="E708" s="28"/>
      <c r="F708" s="29"/>
      <c r="G708" s="29"/>
      <c r="H708" s="29"/>
      <c r="I708" s="29"/>
      <c r="J708" s="29"/>
      <c r="K708" s="29"/>
      <c r="L708" s="29"/>
      <c r="M708" s="29"/>
      <c r="N708" s="30"/>
      <c r="O708" s="28"/>
      <c r="P708" s="29"/>
      <c r="Q708" s="29" t="s">
        <v>22</v>
      </c>
      <c r="R708" s="29"/>
      <c r="S708" s="29" t="s">
        <v>29</v>
      </c>
      <c r="T708" s="58">
        <v>0.7</v>
      </c>
      <c r="U708" s="29"/>
      <c r="V708" s="29"/>
      <c r="W708" s="29"/>
      <c r="X708" s="29"/>
      <c r="Y708" s="29"/>
      <c r="Z708" s="29"/>
      <c r="AA708" s="29"/>
      <c r="AB708" s="29"/>
      <c r="AC708" s="30"/>
      <c r="AD708" s="31"/>
      <c r="AE708" s="31"/>
      <c r="AF708" s="31"/>
      <c r="AG708" s="31"/>
      <c r="AH708" s="31"/>
      <c r="AI708" s="32"/>
    </row>
    <row r="709" spans="1:35" x14ac:dyDescent="0.25">
      <c r="A709" s="27"/>
      <c r="B709" s="28"/>
      <c r="C709" s="29"/>
      <c r="D709" s="30"/>
      <c r="E709" s="28"/>
      <c r="F709" s="29"/>
      <c r="G709" s="29"/>
      <c r="H709" s="29"/>
      <c r="I709" s="29"/>
      <c r="J709" s="29"/>
      <c r="K709" s="29"/>
      <c r="L709" s="29"/>
      <c r="M709" s="29"/>
      <c r="N709" s="30"/>
      <c r="O709" s="28"/>
      <c r="P709" s="29"/>
      <c r="Q709" s="29" t="s">
        <v>274</v>
      </c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30"/>
      <c r="AD709" s="31"/>
      <c r="AE709" s="31"/>
      <c r="AF709" s="31"/>
      <c r="AG709" s="31"/>
      <c r="AH709" s="31"/>
      <c r="AI709" s="32"/>
    </row>
    <row r="710" spans="1:35" x14ac:dyDescent="0.25">
      <c r="A710" s="27"/>
      <c r="B710" s="28"/>
      <c r="C710" s="29"/>
      <c r="D710" s="30"/>
      <c r="E710" s="28"/>
      <c r="F710" s="29"/>
      <c r="G710" s="29"/>
      <c r="H710" s="29"/>
      <c r="I710" s="29"/>
      <c r="J710" s="29"/>
      <c r="K710" s="29"/>
      <c r="L710" s="29"/>
      <c r="M710" s="29"/>
      <c r="N710" s="30"/>
      <c r="O710" s="28"/>
      <c r="P710" s="29"/>
      <c r="Q710" s="29" t="s">
        <v>72</v>
      </c>
      <c r="R710" s="29"/>
      <c r="S710" s="29">
        <f>T706*T707*T708</f>
        <v>0.34299999999999992</v>
      </c>
      <c r="T710" s="29" t="s">
        <v>158</v>
      </c>
      <c r="U710" s="29"/>
      <c r="V710" s="29"/>
      <c r="W710" s="29"/>
      <c r="X710" s="29"/>
      <c r="Y710" s="29"/>
      <c r="Z710" s="29"/>
      <c r="AA710" s="29"/>
      <c r="AB710" s="29"/>
      <c r="AC710" s="30"/>
      <c r="AD710" s="31"/>
      <c r="AE710" s="31"/>
      <c r="AF710" s="31"/>
      <c r="AG710" s="31"/>
      <c r="AH710" s="31"/>
      <c r="AI710" s="32"/>
    </row>
    <row r="711" spans="1:35" x14ac:dyDescent="0.25">
      <c r="A711" s="27"/>
      <c r="B711" s="28"/>
      <c r="C711" s="29"/>
      <c r="D711" s="30"/>
      <c r="E711" s="28"/>
      <c r="F711" s="29"/>
      <c r="G711" s="29"/>
      <c r="H711" s="29"/>
      <c r="I711" s="29"/>
      <c r="J711" s="29"/>
      <c r="K711" s="29"/>
      <c r="L711" s="29"/>
      <c r="M711" s="29"/>
      <c r="N711" s="30"/>
      <c r="O711" s="28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30"/>
      <c r="AD711" s="31"/>
      <c r="AE711" s="31"/>
      <c r="AF711" s="31"/>
      <c r="AG711" s="31"/>
      <c r="AH711" s="31"/>
      <c r="AI711" s="32"/>
    </row>
    <row r="712" spans="1:35" x14ac:dyDescent="0.25">
      <c r="A712" s="27"/>
      <c r="B712" s="28"/>
      <c r="C712" s="29"/>
      <c r="D712" s="30"/>
      <c r="E712" s="28"/>
      <c r="F712" s="29"/>
      <c r="G712" s="29"/>
      <c r="H712" s="29"/>
      <c r="I712" s="29"/>
      <c r="J712" s="29"/>
      <c r="K712" s="29"/>
      <c r="L712" s="29"/>
      <c r="M712" s="29"/>
      <c r="N712" s="30"/>
      <c r="O712" s="28"/>
      <c r="P712" s="29" t="s">
        <v>161</v>
      </c>
      <c r="Q712" s="29" t="s">
        <v>275</v>
      </c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30"/>
      <c r="AD712" s="31"/>
      <c r="AE712" s="31"/>
      <c r="AF712" s="31"/>
      <c r="AG712" s="31"/>
      <c r="AH712" s="31"/>
      <c r="AI712" s="32"/>
    </row>
    <row r="713" spans="1:35" x14ac:dyDescent="0.25">
      <c r="A713" s="27"/>
      <c r="B713" s="28"/>
      <c r="C713" s="29"/>
      <c r="D713" s="30"/>
      <c r="E713" s="28"/>
      <c r="F713" s="29"/>
      <c r="G713" s="29"/>
      <c r="H713" s="29"/>
      <c r="I713" s="29"/>
      <c r="J713" s="29"/>
      <c r="K713" s="29"/>
      <c r="L713" s="29"/>
      <c r="M713" s="29"/>
      <c r="N713" s="30"/>
      <c r="O713" s="28"/>
      <c r="P713" s="29"/>
      <c r="Q713" s="29" t="s">
        <v>21</v>
      </c>
      <c r="R713" s="29"/>
      <c r="S713" s="29" t="s">
        <v>29</v>
      </c>
      <c r="T713" s="58">
        <v>1.6</v>
      </c>
      <c r="U713" s="29"/>
      <c r="V713" s="29"/>
      <c r="W713" s="29"/>
      <c r="X713" s="29"/>
      <c r="Y713" s="29"/>
      <c r="Z713" s="29"/>
      <c r="AA713" s="29"/>
      <c r="AB713" s="29"/>
      <c r="AC713" s="30"/>
      <c r="AD713" s="31"/>
      <c r="AE713" s="31"/>
      <c r="AF713" s="31"/>
      <c r="AG713" s="31"/>
      <c r="AH713" s="31"/>
      <c r="AI713" s="32"/>
    </row>
    <row r="714" spans="1:35" x14ac:dyDescent="0.25">
      <c r="A714" s="27"/>
      <c r="B714" s="28"/>
      <c r="C714" s="29"/>
      <c r="D714" s="30"/>
      <c r="E714" s="28"/>
      <c r="F714" s="29"/>
      <c r="G714" s="29"/>
      <c r="H714" s="29"/>
      <c r="I714" s="29"/>
      <c r="J714" s="29"/>
      <c r="K714" s="29"/>
      <c r="L714" s="29"/>
      <c r="M714" s="29"/>
      <c r="N714" s="30"/>
      <c r="O714" s="28"/>
      <c r="P714" s="29"/>
      <c r="Q714" s="29" t="s">
        <v>69</v>
      </c>
      <c r="R714" s="29"/>
      <c r="S714" s="29" t="s">
        <v>29</v>
      </c>
      <c r="T714" s="58">
        <v>1.85</v>
      </c>
      <c r="U714" s="29"/>
      <c r="V714" s="29"/>
      <c r="W714" s="29"/>
      <c r="X714" s="29"/>
      <c r="Y714" s="29"/>
      <c r="Z714" s="29"/>
      <c r="AA714" s="29"/>
      <c r="AB714" s="29"/>
      <c r="AC714" s="30"/>
      <c r="AD714" s="31"/>
      <c r="AE714" s="31"/>
      <c r="AF714" s="31"/>
      <c r="AG714" s="31"/>
      <c r="AH714" s="31"/>
      <c r="AI714" s="32"/>
    </row>
    <row r="715" spans="1:35" x14ac:dyDescent="0.25">
      <c r="A715" s="27"/>
      <c r="B715" s="28"/>
      <c r="C715" s="29"/>
      <c r="D715" s="30"/>
      <c r="E715" s="28"/>
      <c r="F715" s="29"/>
      <c r="G715" s="29"/>
      <c r="H715" s="29"/>
      <c r="I715" s="29"/>
      <c r="J715" s="29"/>
      <c r="K715" s="29"/>
      <c r="L715" s="29"/>
      <c r="M715" s="29"/>
      <c r="N715" s="30"/>
      <c r="O715" s="28"/>
      <c r="P715" s="29"/>
      <c r="Q715" s="29" t="s">
        <v>22</v>
      </c>
      <c r="R715" s="29"/>
      <c r="S715" s="29" t="s">
        <v>29</v>
      </c>
      <c r="T715" s="58">
        <v>1.6</v>
      </c>
      <c r="U715" s="29"/>
      <c r="V715" s="29"/>
      <c r="W715" s="29"/>
      <c r="X715" s="29"/>
      <c r="Y715" s="29"/>
      <c r="Z715" s="29"/>
      <c r="AA715" s="29"/>
      <c r="AB715" s="29"/>
      <c r="AC715" s="30"/>
      <c r="AD715" s="31"/>
      <c r="AE715" s="31"/>
      <c r="AF715" s="31"/>
      <c r="AG715" s="31"/>
      <c r="AH715" s="31"/>
      <c r="AI715" s="32"/>
    </row>
    <row r="716" spans="1:35" x14ac:dyDescent="0.25">
      <c r="A716" s="27"/>
      <c r="B716" s="28"/>
      <c r="C716" s="29"/>
      <c r="D716" s="30"/>
      <c r="E716" s="28"/>
      <c r="F716" s="29"/>
      <c r="G716" s="29"/>
      <c r="H716" s="29"/>
      <c r="I716" s="29"/>
      <c r="J716" s="29"/>
      <c r="K716" s="29"/>
      <c r="L716" s="29"/>
      <c r="M716" s="29"/>
      <c r="N716" s="30"/>
      <c r="O716" s="28"/>
      <c r="P716" s="29"/>
      <c r="Q716" s="29" t="s">
        <v>274</v>
      </c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30"/>
      <c r="AD716" s="31"/>
      <c r="AE716" s="31"/>
      <c r="AF716" s="31"/>
      <c r="AG716" s="31"/>
      <c r="AH716" s="31"/>
      <c r="AI716" s="32"/>
    </row>
    <row r="717" spans="1:35" x14ac:dyDescent="0.25">
      <c r="A717" s="27"/>
      <c r="B717" s="28"/>
      <c r="C717" s="29"/>
      <c r="D717" s="30"/>
      <c r="E717" s="28"/>
      <c r="F717" s="29"/>
      <c r="G717" s="29"/>
      <c r="H717" s="29"/>
      <c r="I717" s="29"/>
      <c r="J717" s="29"/>
      <c r="K717" s="29"/>
      <c r="L717" s="29"/>
      <c r="M717" s="29"/>
      <c r="N717" s="30"/>
      <c r="O717" s="28"/>
      <c r="P717" s="29"/>
      <c r="Q717" s="29" t="s">
        <v>72</v>
      </c>
      <c r="R717" s="29"/>
      <c r="S717" s="29">
        <f>T713*T714*T715</f>
        <v>4.7360000000000007</v>
      </c>
      <c r="T717" s="29" t="s">
        <v>158</v>
      </c>
      <c r="U717" s="29"/>
      <c r="V717" s="29"/>
      <c r="W717" s="29"/>
      <c r="X717" s="29"/>
      <c r="Y717" s="29"/>
      <c r="Z717" s="29"/>
      <c r="AA717" s="29"/>
      <c r="AB717" s="29"/>
      <c r="AC717" s="30"/>
      <c r="AD717" s="31"/>
      <c r="AE717" s="31"/>
      <c r="AF717" s="31"/>
      <c r="AG717" s="31"/>
      <c r="AH717" s="31"/>
      <c r="AI717" s="32"/>
    </row>
    <row r="718" spans="1:35" x14ac:dyDescent="0.25">
      <c r="A718" s="27"/>
      <c r="B718" s="28"/>
      <c r="C718" s="29"/>
      <c r="D718" s="30"/>
      <c r="E718" s="28"/>
      <c r="F718" s="29"/>
      <c r="G718" s="29"/>
      <c r="H718" s="29"/>
      <c r="I718" s="29"/>
      <c r="J718" s="29"/>
      <c r="K718" s="29"/>
      <c r="L718" s="29"/>
      <c r="M718" s="29"/>
      <c r="N718" s="30"/>
      <c r="O718" s="28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30"/>
      <c r="AD718" s="31"/>
      <c r="AE718" s="31"/>
      <c r="AF718" s="31"/>
      <c r="AG718" s="31"/>
      <c r="AH718" s="31"/>
      <c r="AI718" s="32"/>
    </row>
    <row r="719" spans="1:35" x14ac:dyDescent="0.25">
      <c r="A719" s="27"/>
      <c r="B719" s="28"/>
      <c r="C719" s="29"/>
      <c r="D719" s="30"/>
      <c r="E719" s="28"/>
      <c r="F719" s="29"/>
      <c r="G719" s="29"/>
      <c r="H719" s="29"/>
      <c r="I719" s="29"/>
      <c r="J719" s="29"/>
      <c r="K719" s="29"/>
      <c r="L719" s="29"/>
      <c r="M719" s="29"/>
      <c r="N719" s="30"/>
      <c r="O719" s="28">
        <v>2</v>
      </c>
      <c r="P719" s="29" t="s">
        <v>276</v>
      </c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30"/>
      <c r="AD719" s="31"/>
      <c r="AE719" s="39">
        <f>S725+S731+S738</f>
        <v>24.959999999999997</v>
      </c>
      <c r="AF719" s="31"/>
      <c r="AG719" s="31"/>
      <c r="AH719" s="31"/>
      <c r="AI719" s="32"/>
    </row>
    <row r="720" spans="1:35" x14ac:dyDescent="0.25">
      <c r="A720" s="27"/>
      <c r="B720" s="28"/>
      <c r="C720" s="29"/>
      <c r="D720" s="30"/>
      <c r="E720" s="28"/>
      <c r="F720" s="29"/>
      <c r="G720" s="29"/>
      <c r="H720" s="29"/>
      <c r="I720" s="29"/>
      <c r="J720" s="29"/>
      <c r="K720" s="29"/>
      <c r="L720" s="29"/>
      <c r="M720" s="29"/>
      <c r="N720" s="30"/>
      <c r="O720" s="28"/>
      <c r="P720" s="29" t="s">
        <v>160</v>
      </c>
      <c r="Q720" s="29" t="s">
        <v>273</v>
      </c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30"/>
      <c r="AD720" s="31"/>
      <c r="AE720" s="31"/>
      <c r="AF720" s="31"/>
      <c r="AG720" s="31"/>
      <c r="AH720" s="31"/>
      <c r="AI720" s="32"/>
    </row>
    <row r="721" spans="1:35" x14ac:dyDescent="0.25">
      <c r="A721" s="27"/>
      <c r="B721" s="28"/>
      <c r="C721" s="29"/>
      <c r="D721" s="30"/>
      <c r="E721" s="28"/>
      <c r="F721" s="29"/>
      <c r="G721" s="29"/>
      <c r="H721" s="29"/>
      <c r="I721" s="29"/>
      <c r="J721" s="29"/>
      <c r="K721" s="29"/>
      <c r="L721" s="29"/>
      <c r="M721" s="29"/>
      <c r="N721" s="30"/>
      <c r="O721" s="28"/>
      <c r="P721" s="29"/>
      <c r="Q721" s="29" t="s">
        <v>208</v>
      </c>
      <c r="R721" s="29"/>
      <c r="S721" s="29" t="s">
        <v>29</v>
      </c>
      <c r="T721" s="58">
        <v>6</v>
      </c>
      <c r="U721" s="29"/>
      <c r="V721" s="29"/>
      <c r="W721" s="29"/>
      <c r="X721" s="29"/>
      <c r="Y721" s="29"/>
      <c r="Z721" s="29"/>
      <c r="AA721" s="29"/>
      <c r="AB721" s="29"/>
      <c r="AC721" s="30"/>
      <c r="AD721" s="31"/>
      <c r="AE721" s="31"/>
      <c r="AF721" s="31"/>
      <c r="AG721" s="31"/>
      <c r="AH721" s="31"/>
      <c r="AI721" s="32"/>
    </row>
    <row r="722" spans="1:35" x14ac:dyDescent="0.25">
      <c r="A722" s="27"/>
      <c r="B722" s="28"/>
      <c r="C722" s="29"/>
      <c r="D722" s="30"/>
      <c r="E722" s="28"/>
      <c r="F722" s="29"/>
      <c r="G722" s="29"/>
      <c r="H722" s="29"/>
      <c r="I722" s="29"/>
      <c r="J722" s="29"/>
      <c r="K722" s="29"/>
      <c r="L722" s="29"/>
      <c r="M722" s="29"/>
      <c r="N722" s="30"/>
      <c r="O722" s="28"/>
      <c r="P722" s="29"/>
      <c r="Q722" s="29" t="s">
        <v>21</v>
      </c>
      <c r="R722" s="29"/>
      <c r="S722" s="29" t="s">
        <v>29</v>
      </c>
      <c r="T722" s="58">
        <v>1.2</v>
      </c>
      <c r="U722" s="29"/>
      <c r="V722" s="29"/>
      <c r="W722" s="29"/>
      <c r="X722" s="29"/>
      <c r="Y722" s="29"/>
      <c r="Z722" s="29"/>
      <c r="AA722" s="29"/>
      <c r="AB722" s="29"/>
      <c r="AC722" s="30"/>
      <c r="AD722" s="31"/>
      <c r="AE722" s="31"/>
      <c r="AF722" s="31"/>
      <c r="AG722" s="31"/>
      <c r="AH722" s="31"/>
      <c r="AI722" s="32"/>
    </row>
    <row r="723" spans="1:35" x14ac:dyDescent="0.25">
      <c r="A723" s="27"/>
      <c r="B723" s="28"/>
      <c r="C723" s="29"/>
      <c r="D723" s="30"/>
      <c r="E723" s="28"/>
      <c r="F723" s="29"/>
      <c r="G723" s="29"/>
      <c r="H723" s="29"/>
      <c r="I723" s="29"/>
      <c r="J723" s="29"/>
      <c r="K723" s="29"/>
      <c r="L723" s="29"/>
      <c r="M723" s="29"/>
      <c r="N723" s="30"/>
      <c r="O723" s="28"/>
      <c r="P723" s="29"/>
      <c r="Q723" s="29" t="s">
        <v>69</v>
      </c>
      <c r="R723" s="29"/>
      <c r="S723" s="29" t="s">
        <v>29</v>
      </c>
      <c r="T723" s="58">
        <v>1.5</v>
      </c>
      <c r="U723" s="29"/>
      <c r="V723" s="29"/>
      <c r="W723" s="29"/>
      <c r="X723" s="29"/>
      <c r="Y723" s="29"/>
      <c r="Z723" s="29"/>
      <c r="AA723" s="29"/>
      <c r="AB723" s="29"/>
      <c r="AC723" s="30"/>
      <c r="AD723" s="31"/>
      <c r="AE723" s="31"/>
      <c r="AF723" s="31"/>
      <c r="AG723" s="31"/>
      <c r="AH723" s="31"/>
      <c r="AI723" s="32"/>
    </row>
    <row r="724" spans="1:35" x14ac:dyDescent="0.25">
      <c r="A724" s="27"/>
      <c r="B724" s="28"/>
      <c r="C724" s="29"/>
      <c r="D724" s="30"/>
      <c r="E724" s="28"/>
      <c r="F724" s="29"/>
      <c r="G724" s="29"/>
      <c r="H724" s="29"/>
      <c r="I724" s="29"/>
      <c r="J724" s="29"/>
      <c r="K724" s="29"/>
      <c r="L724" s="29"/>
      <c r="M724" s="29"/>
      <c r="N724" s="30"/>
      <c r="O724" s="28"/>
      <c r="P724" s="29"/>
      <c r="Q724" s="29" t="s">
        <v>278</v>
      </c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30"/>
      <c r="AD724" s="31"/>
      <c r="AE724" s="31"/>
      <c r="AF724" s="31"/>
      <c r="AG724" s="31"/>
      <c r="AH724" s="31"/>
      <c r="AI724" s="32"/>
    </row>
    <row r="725" spans="1:35" x14ac:dyDescent="0.25">
      <c r="A725" s="27"/>
      <c r="B725" s="28"/>
      <c r="C725" s="29"/>
      <c r="D725" s="30"/>
      <c r="E725" s="28"/>
      <c r="F725" s="29"/>
      <c r="G725" s="29"/>
      <c r="H725" s="29"/>
      <c r="I725" s="29"/>
      <c r="J725" s="29"/>
      <c r="K725" s="29"/>
      <c r="L725" s="29"/>
      <c r="M725" s="29"/>
      <c r="N725" s="30"/>
      <c r="O725" s="28"/>
      <c r="P725" s="29"/>
      <c r="Q725" s="29" t="s">
        <v>277</v>
      </c>
      <c r="R725" s="29"/>
      <c r="S725" s="29">
        <f>(T722*T723)*T721</f>
        <v>10.799999999999999</v>
      </c>
      <c r="T725" s="29" t="s">
        <v>82</v>
      </c>
      <c r="U725" s="29"/>
      <c r="V725" s="29"/>
      <c r="W725" s="29"/>
      <c r="X725" s="29"/>
      <c r="Y725" s="29"/>
      <c r="Z725" s="29"/>
      <c r="AA725" s="29"/>
      <c r="AB725" s="29"/>
      <c r="AC725" s="30"/>
      <c r="AD725" s="31"/>
      <c r="AE725" s="31"/>
      <c r="AF725" s="31"/>
      <c r="AG725" s="31"/>
      <c r="AH725" s="31"/>
      <c r="AI725" s="32"/>
    </row>
    <row r="726" spans="1:35" x14ac:dyDescent="0.25">
      <c r="A726" s="27"/>
      <c r="B726" s="28"/>
      <c r="C726" s="29"/>
      <c r="D726" s="30"/>
      <c r="E726" s="28"/>
      <c r="F726" s="29"/>
      <c r="G726" s="29"/>
      <c r="H726" s="29"/>
      <c r="I726" s="29"/>
      <c r="J726" s="29"/>
      <c r="K726" s="29"/>
      <c r="L726" s="29"/>
      <c r="M726" s="29"/>
      <c r="N726" s="30"/>
      <c r="O726" s="28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30"/>
      <c r="AD726" s="31"/>
      <c r="AE726" s="31"/>
      <c r="AF726" s="31"/>
      <c r="AG726" s="31"/>
      <c r="AH726" s="31"/>
      <c r="AI726" s="32"/>
    </row>
    <row r="727" spans="1:35" x14ac:dyDescent="0.25">
      <c r="A727" s="27"/>
      <c r="B727" s="28"/>
      <c r="C727" s="29"/>
      <c r="D727" s="30"/>
      <c r="E727" s="28"/>
      <c r="F727" s="29"/>
      <c r="G727" s="29"/>
      <c r="H727" s="29"/>
      <c r="I727" s="29"/>
      <c r="J727" s="29"/>
      <c r="K727" s="29"/>
      <c r="L727" s="29"/>
      <c r="M727" s="29"/>
      <c r="N727" s="30"/>
      <c r="O727" s="28"/>
      <c r="P727" s="29"/>
      <c r="Q727" s="29" t="s">
        <v>208</v>
      </c>
      <c r="R727" s="29"/>
      <c r="S727" s="29" t="s">
        <v>29</v>
      </c>
      <c r="T727" s="58">
        <v>6</v>
      </c>
      <c r="U727" s="29"/>
      <c r="V727" s="29"/>
      <c r="W727" s="29"/>
      <c r="X727" s="29"/>
      <c r="Y727" s="29"/>
      <c r="Z727" s="29"/>
      <c r="AA727" s="29"/>
      <c r="AB727" s="29"/>
      <c r="AC727" s="30"/>
      <c r="AD727" s="31"/>
      <c r="AE727" s="31"/>
      <c r="AF727" s="31"/>
      <c r="AG727" s="31"/>
      <c r="AH727" s="31"/>
      <c r="AI727" s="32"/>
    </row>
    <row r="728" spans="1:35" x14ac:dyDescent="0.25">
      <c r="A728" s="27"/>
      <c r="B728" s="28"/>
      <c r="C728" s="29"/>
      <c r="D728" s="30"/>
      <c r="E728" s="28"/>
      <c r="F728" s="29"/>
      <c r="G728" s="29"/>
      <c r="H728" s="29"/>
      <c r="I728" s="29"/>
      <c r="J728" s="29"/>
      <c r="K728" s="29"/>
      <c r="L728" s="29"/>
      <c r="M728" s="29"/>
      <c r="N728" s="30"/>
      <c r="O728" s="28"/>
      <c r="P728" s="29"/>
      <c r="Q728" s="29" t="s">
        <v>21</v>
      </c>
      <c r="R728" s="29"/>
      <c r="S728" s="29" t="s">
        <v>29</v>
      </c>
      <c r="T728" s="58">
        <v>1.2</v>
      </c>
      <c r="U728" s="29"/>
      <c r="V728" s="29"/>
      <c r="W728" s="29"/>
      <c r="X728" s="29"/>
      <c r="Y728" s="29"/>
      <c r="Z728" s="29"/>
      <c r="AA728" s="29"/>
      <c r="AB728" s="29"/>
      <c r="AC728" s="30"/>
      <c r="AD728" s="31"/>
      <c r="AE728" s="31"/>
      <c r="AF728" s="31"/>
      <c r="AG728" s="31"/>
      <c r="AH728" s="31"/>
      <c r="AI728" s="32"/>
    </row>
    <row r="729" spans="1:35" x14ac:dyDescent="0.25">
      <c r="A729" s="27"/>
      <c r="B729" s="28"/>
      <c r="C729" s="29"/>
      <c r="D729" s="30"/>
      <c r="E729" s="28"/>
      <c r="F729" s="29"/>
      <c r="G729" s="29"/>
      <c r="H729" s="29"/>
      <c r="I729" s="29"/>
      <c r="J729" s="29"/>
      <c r="K729" s="29"/>
      <c r="L729" s="29"/>
      <c r="M729" s="29"/>
      <c r="N729" s="30"/>
      <c r="O729" s="28"/>
      <c r="P729" s="29"/>
      <c r="Q729" s="29" t="s">
        <v>69</v>
      </c>
      <c r="R729" s="29"/>
      <c r="S729" s="29" t="s">
        <v>29</v>
      </c>
      <c r="T729" s="58">
        <v>1.5</v>
      </c>
      <c r="U729" s="29"/>
      <c r="V729" s="29"/>
      <c r="W729" s="29"/>
      <c r="X729" s="29"/>
      <c r="Y729" s="29"/>
      <c r="Z729" s="29"/>
      <c r="AA729" s="29"/>
      <c r="AB729" s="29"/>
      <c r="AC729" s="30"/>
      <c r="AD729" s="31"/>
      <c r="AE729" s="31"/>
      <c r="AF729" s="31"/>
      <c r="AG729" s="31"/>
      <c r="AH729" s="31"/>
      <c r="AI729" s="32"/>
    </row>
    <row r="730" spans="1:35" x14ac:dyDescent="0.25">
      <c r="A730" s="27"/>
      <c r="B730" s="28"/>
      <c r="C730" s="29"/>
      <c r="D730" s="30"/>
      <c r="E730" s="28"/>
      <c r="F730" s="29"/>
      <c r="G730" s="29"/>
      <c r="H730" s="29"/>
      <c r="I730" s="29"/>
      <c r="J730" s="29"/>
      <c r="K730" s="29"/>
      <c r="L730" s="29"/>
      <c r="M730" s="29"/>
      <c r="N730" s="30"/>
      <c r="O730" s="28"/>
      <c r="P730" s="29"/>
      <c r="Q730" s="29" t="s">
        <v>278</v>
      </c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30"/>
      <c r="AD730" s="31"/>
      <c r="AE730" s="31"/>
      <c r="AF730" s="31"/>
      <c r="AG730" s="31"/>
      <c r="AH730" s="31"/>
      <c r="AI730" s="32"/>
    </row>
    <row r="731" spans="1:35" x14ac:dyDescent="0.25">
      <c r="A731" s="27"/>
      <c r="B731" s="28"/>
      <c r="C731" s="29"/>
      <c r="D731" s="30"/>
      <c r="E731" s="28"/>
      <c r="F731" s="29"/>
      <c r="G731" s="29"/>
      <c r="H731" s="29"/>
      <c r="I731" s="29"/>
      <c r="J731" s="29"/>
      <c r="K731" s="29"/>
      <c r="L731" s="29"/>
      <c r="M731" s="29"/>
      <c r="N731" s="30"/>
      <c r="O731" s="28"/>
      <c r="P731" s="29"/>
      <c r="Q731" s="29" t="s">
        <v>277</v>
      </c>
      <c r="R731" s="29"/>
      <c r="S731" s="29">
        <f>(T728*T729)*T727</f>
        <v>10.799999999999999</v>
      </c>
      <c r="T731" s="29" t="s">
        <v>82</v>
      </c>
      <c r="U731" s="29"/>
      <c r="V731" s="29"/>
      <c r="W731" s="29"/>
      <c r="X731" s="29"/>
      <c r="Y731" s="29"/>
      <c r="Z731" s="29"/>
      <c r="AA731" s="29"/>
      <c r="AB731" s="29"/>
      <c r="AC731" s="30"/>
      <c r="AD731" s="31"/>
      <c r="AE731" s="31"/>
      <c r="AF731" s="31"/>
      <c r="AG731" s="31"/>
      <c r="AH731" s="31"/>
      <c r="AI731" s="32"/>
    </row>
    <row r="732" spans="1:35" x14ac:dyDescent="0.25">
      <c r="A732" s="27"/>
      <c r="B732" s="28"/>
      <c r="C732" s="29"/>
      <c r="D732" s="30"/>
      <c r="E732" s="28"/>
      <c r="F732" s="29"/>
      <c r="G732" s="29"/>
      <c r="H732" s="29"/>
      <c r="I732" s="29"/>
      <c r="J732" s="29"/>
      <c r="K732" s="29"/>
      <c r="L732" s="29"/>
      <c r="M732" s="29"/>
      <c r="N732" s="30"/>
      <c r="O732" s="28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30"/>
      <c r="AD732" s="31"/>
      <c r="AE732" s="31"/>
      <c r="AF732" s="31"/>
      <c r="AG732" s="31"/>
      <c r="AH732" s="31"/>
      <c r="AI732" s="32"/>
    </row>
    <row r="733" spans="1:35" x14ac:dyDescent="0.25">
      <c r="A733" s="27"/>
      <c r="B733" s="28"/>
      <c r="C733" s="29"/>
      <c r="D733" s="30"/>
      <c r="E733" s="28"/>
      <c r="F733" s="29"/>
      <c r="G733" s="29"/>
      <c r="H733" s="29"/>
      <c r="I733" s="29"/>
      <c r="J733" s="29"/>
      <c r="K733" s="29"/>
      <c r="L733" s="29"/>
      <c r="M733" s="29"/>
      <c r="N733" s="30"/>
      <c r="O733" s="28"/>
      <c r="P733" s="29" t="s">
        <v>161</v>
      </c>
      <c r="Q733" s="29" t="s">
        <v>275</v>
      </c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30"/>
      <c r="AD733" s="31"/>
      <c r="AE733" s="31"/>
      <c r="AF733" s="31"/>
      <c r="AG733" s="31"/>
      <c r="AH733" s="31"/>
      <c r="AI733" s="32"/>
    </row>
    <row r="734" spans="1:35" x14ac:dyDescent="0.25">
      <c r="A734" s="27"/>
      <c r="B734" s="28"/>
      <c r="C734" s="29"/>
      <c r="D734" s="30"/>
      <c r="E734" s="28"/>
      <c r="F734" s="29"/>
      <c r="G734" s="29"/>
      <c r="H734" s="29"/>
      <c r="I734" s="29"/>
      <c r="J734" s="29"/>
      <c r="K734" s="29"/>
      <c r="L734" s="29"/>
      <c r="M734" s="29"/>
      <c r="N734" s="30"/>
      <c r="O734" s="28"/>
      <c r="P734" s="29"/>
      <c r="Q734" s="29" t="s">
        <v>208</v>
      </c>
      <c r="R734" s="29"/>
      <c r="S734" s="29" t="s">
        <v>29</v>
      </c>
      <c r="T734" s="58">
        <v>4</v>
      </c>
      <c r="U734" s="29"/>
      <c r="V734" s="29"/>
      <c r="W734" s="29"/>
      <c r="X734" s="29"/>
      <c r="Y734" s="29"/>
      <c r="Z734" s="29"/>
      <c r="AA734" s="29"/>
      <c r="AB734" s="29"/>
      <c r="AC734" s="30"/>
      <c r="AD734" s="31"/>
      <c r="AE734" s="31"/>
      <c r="AF734" s="31"/>
      <c r="AG734" s="31"/>
      <c r="AH734" s="31"/>
      <c r="AI734" s="32"/>
    </row>
    <row r="735" spans="1:35" x14ac:dyDescent="0.25">
      <c r="A735" s="27"/>
      <c r="B735" s="28"/>
      <c r="C735" s="29"/>
      <c r="D735" s="30"/>
      <c r="E735" s="28"/>
      <c r="F735" s="29"/>
      <c r="G735" s="29"/>
      <c r="H735" s="29"/>
      <c r="I735" s="29"/>
      <c r="J735" s="29"/>
      <c r="K735" s="29"/>
      <c r="L735" s="29"/>
      <c r="M735" s="29"/>
      <c r="N735" s="30"/>
      <c r="O735" s="28"/>
      <c r="P735" s="29"/>
      <c r="Q735" s="29" t="s">
        <v>21</v>
      </c>
      <c r="R735" s="29"/>
      <c r="S735" s="29" t="s">
        <v>29</v>
      </c>
      <c r="T735" s="58">
        <v>1.2</v>
      </c>
      <c r="U735" s="29"/>
      <c r="V735" s="29"/>
      <c r="W735" s="29"/>
      <c r="X735" s="29"/>
      <c r="Y735" s="29"/>
      <c r="Z735" s="29"/>
      <c r="AA735" s="29"/>
      <c r="AB735" s="29"/>
      <c r="AC735" s="30"/>
      <c r="AD735" s="31"/>
      <c r="AE735" s="31"/>
      <c r="AF735" s="31"/>
      <c r="AG735" s="31"/>
      <c r="AH735" s="31"/>
      <c r="AI735" s="32"/>
    </row>
    <row r="736" spans="1:35" x14ac:dyDescent="0.25">
      <c r="A736" s="27"/>
      <c r="B736" s="28"/>
      <c r="C736" s="29"/>
      <c r="D736" s="30"/>
      <c r="E736" s="28"/>
      <c r="F736" s="29"/>
      <c r="G736" s="29"/>
      <c r="H736" s="29"/>
      <c r="I736" s="29"/>
      <c r="J736" s="29"/>
      <c r="K736" s="29"/>
      <c r="L736" s="29"/>
      <c r="M736" s="29"/>
      <c r="N736" s="30"/>
      <c r="O736" s="28"/>
      <c r="P736" s="29"/>
      <c r="Q736" s="29" t="s">
        <v>69</v>
      </c>
      <c r="R736" s="29"/>
      <c r="S736" s="29" t="s">
        <v>29</v>
      </c>
      <c r="T736" s="58">
        <v>0.7</v>
      </c>
      <c r="U736" s="29"/>
      <c r="V736" s="29"/>
      <c r="W736" s="29"/>
      <c r="X736" s="29"/>
      <c r="Y736" s="29"/>
      <c r="Z736" s="29"/>
      <c r="AA736" s="29"/>
      <c r="AB736" s="29"/>
      <c r="AC736" s="30"/>
      <c r="AD736" s="31"/>
      <c r="AE736" s="31"/>
      <c r="AF736" s="31"/>
      <c r="AG736" s="31"/>
      <c r="AH736" s="31"/>
      <c r="AI736" s="32"/>
    </row>
    <row r="737" spans="1:35" x14ac:dyDescent="0.25">
      <c r="A737" s="27"/>
      <c r="B737" s="28"/>
      <c r="C737" s="29"/>
      <c r="D737" s="30"/>
      <c r="E737" s="28"/>
      <c r="F737" s="29"/>
      <c r="G737" s="29"/>
      <c r="H737" s="29"/>
      <c r="I737" s="29"/>
      <c r="J737" s="29"/>
      <c r="K737" s="29"/>
      <c r="L737" s="29"/>
      <c r="M737" s="29"/>
      <c r="N737" s="30"/>
      <c r="O737" s="28"/>
      <c r="P737" s="29"/>
      <c r="Q737" s="29" t="s">
        <v>278</v>
      </c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30"/>
      <c r="AD737" s="31"/>
      <c r="AE737" s="31"/>
      <c r="AF737" s="31"/>
      <c r="AG737" s="31"/>
      <c r="AH737" s="31"/>
      <c r="AI737" s="32"/>
    </row>
    <row r="738" spans="1:35" ht="15.75" thickBot="1" x14ac:dyDescent="0.3">
      <c r="A738" s="5"/>
      <c r="B738" s="17"/>
      <c r="C738" s="18"/>
      <c r="D738" s="19"/>
      <c r="E738" s="17"/>
      <c r="F738" s="18"/>
      <c r="G738" s="18"/>
      <c r="H738" s="18"/>
      <c r="I738" s="18"/>
      <c r="J738" s="18"/>
      <c r="K738" s="18"/>
      <c r="L738" s="18"/>
      <c r="M738" s="18"/>
      <c r="N738" s="19"/>
      <c r="O738" s="17"/>
      <c r="P738" s="18"/>
      <c r="Q738" s="18" t="s">
        <v>277</v>
      </c>
      <c r="R738" s="18"/>
      <c r="S738" s="18">
        <f>(T735*T736)*T734</f>
        <v>3.36</v>
      </c>
      <c r="T738" s="18" t="s">
        <v>82</v>
      </c>
      <c r="U738" s="18"/>
      <c r="V738" s="18"/>
      <c r="W738" s="18"/>
      <c r="X738" s="18"/>
      <c r="Y738" s="18"/>
      <c r="Z738" s="18"/>
      <c r="AA738" s="18"/>
      <c r="AB738" s="18"/>
      <c r="AC738" s="19"/>
      <c r="AD738" s="6"/>
      <c r="AE738" s="6"/>
      <c r="AF738" s="6"/>
      <c r="AG738" s="6"/>
      <c r="AH738" s="6"/>
      <c r="AI738" s="7"/>
    </row>
    <row r="739" spans="1:35" ht="15.75" thickTop="1" x14ac:dyDescent="0.25">
      <c r="A739" s="597"/>
      <c r="B739" s="272"/>
      <c r="C739" s="598"/>
      <c r="D739" s="273"/>
      <c r="E739" s="272"/>
      <c r="F739" s="598"/>
      <c r="G739" s="598"/>
      <c r="H739" s="598"/>
      <c r="I739" s="598"/>
      <c r="J739" s="598"/>
      <c r="K739" s="598"/>
      <c r="L739" s="598"/>
      <c r="M739" s="598"/>
      <c r="N739" s="273"/>
      <c r="O739" s="272"/>
      <c r="P739" s="598"/>
      <c r="Q739" s="598"/>
      <c r="R739" s="598"/>
      <c r="S739" s="598"/>
      <c r="T739" s="598"/>
      <c r="U739" s="598"/>
      <c r="V739" s="598"/>
      <c r="W739" s="598"/>
      <c r="X739" s="598"/>
      <c r="Y739" s="598"/>
      <c r="Z739" s="598"/>
      <c r="AA739" s="598"/>
      <c r="AB739" s="598"/>
      <c r="AC739" s="273"/>
      <c r="AD739" s="274"/>
      <c r="AE739" s="274"/>
      <c r="AF739" s="274"/>
      <c r="AG739" s="274"/>
      <c r="AH739" s="274"/>
      <c r="AI739" s="599"/>
    </row>
    <row r="740" spans="1:35" x14ac:dyDescent="0.25">
      <c r="A740" s="27"/>
      <c r="B740" s="28"/>
      <c r="C740" s="29"/>
      <c r="D740" s="30"/>
      <c r="E740" s="28"/>
      <c r="F740" s="29"/>
      <c r="G740" s="29"/>
      <c r="H740" s="29"/>
      <c r="I740" s="29"/>
      <c r="J740" s="29"/>
      <c r="K740" s="29"/>
      <c r="L740" s="29"/>
      <c r="M740" s="29"/>
      <c r="N740" s="30"/>
      <c r="O740" s="28">
        <v>3</v>
      </c>
      <c r="P740" s="29" t="s">
        <v>313</v>
      </c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30"/>
      <c r="AD740" s="31"/>
      <c r="AE740" s="31"/>
      <c r="AF740" s="39">
        <f>T744</f>
        <v>0.432</v>
      </c>
      <c r="AG740" s="31"/>
      <c r="AH740" s="31"/>
      <c r="AI740" s="32"/>
    </row>
    <row r="741" spans="1:35" x14ac:dyDescent="0.25">
      <c r="A741" s="27"/>
      <c r="B741" s="28"/>
      <c r="C741" s="29"/>
      <c r="D741" s="30"/>
      <c r="E741" s="28"/>
      <c r="F741" s="29"/>
      <c r="G741" s="29"/>
      <c r="H741" s="29"/>
      <c r="I741" s="29"/>
      <c r="J741" s="29"/>
      <c r="K741" s="29"/>
      <c r="L741" s="29"/>
      <c r="M741" s="29"/>
      <c r="N741" s="30"/>
      <c r="O741" s="28"/>
      <c r="P741" s="29"/>
      <c r="Q741" s="29" t="s">
        <v>21</v>
      </c>
      <c r="R741" s="29"/>
      <c r="S741" s="29" t="s">
        <v>29</v>
      </c>
      <c r="T741" s="58">
        <v>1.2</v>
      </c>
      <c r="U741" s="29"/>
      <c r="V741" s="29"/>
      <c r="W741" s="29"/>
      <c r="X741" s="29"/>
      <c r="Y741" s="29"/>
      <c r="Z741" s="29"/>
      <c r="AA741" s="29"/>
      <c r="AB741" s="29"/>
      <c r="AC741" s="30"/>
      <c r="AD741" s="31"/>
      <c r="AE741" s="31"/>
      <c r="AF741" s="31"/>
      <c r="AG741" s="31"/>
      <c r="AH741" s="31"/>
      <c r="AI741" s="32"/>
    </row>
    <row r="742" spans="1:35" x14ac:dyDescent="0.25">
      <c r="A742" s="27"/>
      <c r="B742" s="28"/>
      <c r="C742" s="29"/>
      <c r="D742" s="30"/>
      <c r="E742" s="28"/>
      <c r="F742" s="29"/>
      <c r="G742" s="29"/>
      <c r="H742" s="29"/>
      <c r="I742" s="29"/>
      <c r="J742" s="29"/>
      <c r="K742" s="29"/>
      <c r="L742" s="29"/>
      <c r="M742" s="29"/>
      <c r="N742" s="30"/>
      <c r="O742" s="28"/>
      <c r="P742" s="29"/>
      <c r="Q742" s="29" t="s">
        <v>22</v>
      </c>
      <c r="R742" s="29"/>
      <c r="S742" s="29" t="s">
        <v>29</v>
      </c>
      <c r="T742" s="58">
        <v>1.2</v>
      </c>
      <c r="U742" s="29"/>
      <c r="V742" s="29"/>
      <c r="W742" s="29"/>
      <c r="X742" s="29"/>
      <c r="Y742" s="29"/>
      <c r="Z742" s="29"/>
      <c r="AA742" s="29"/>
      <c r="AB742" s="29"/>
      <c r="AC742" s="30"/>
      <c r="AD742" s="31"/>
      <c r="AE742" s="31"/>
      <c r="AF742" s="31"/>
      <c r="AG742" s="31"/>
      <c r="AH742" s="31"/>
      <c r="AI742" s="32"/>
    </row>
    <row r="743" spans="1:35" x14ac:dyDescent="0.25">
      <c r="A743" s="27"/>
      <c r="B743" s="28"/>
      <c r="C743" s="29"/>
      <c r="D743" s="30"/>
      <c r="E743" s="28"/>
      <c r="F743" s="29"/>
      <c r="G743" s="29"/>
      <c r="H743" s="29"/>
      <c r="I743" s="29"/>
      <c r="J743" s="29"/>
      <c r="K743" s="29"/>
      <c r="L743" s="29"/>
      <c r="M743" s="29"/>
      <c r="N743" s="30"/>
      <c r="O743" s="28"/>
      <c r="P743" s="29"/>
      <c r="Q743" s="29" t="s">
        <v>209</v>
      </c>
      <c r="R743" s="29"/>
      <c r="S743" s="29" t="s">
        <v>29</v>
      </c>
      <c r="T743" s="58">
        <v>0.3</v>
      </c>
      <c r="U743" s="29"/>
      <c r="V743" s="29"/>
      <c r="W743" s="29"/>
      <c r="X743" s="29"/>
      <c r="Y743" s="29"/>
      <c r="Z743" s="29"/>
      <c r="AA743" s="29"/>
      <c r="AB743" s="29"/>
      <c r="AC743" s="30"/>
      <c r="AD743" s="31"/>
      <c r="AE743" s="31"/>
      <c r="AF743" s="31"/>
      <c r="AG743" s="31"/>
      <c r="AH743" s="31"/>
      <c r="AI743" s="32"/>
    </row>
    <row r="744" spans="1:35" x14ac:dyDescent="0.25">
      <c r="A744" s="27"/>
      <c r="B744" s="28"/>
      <c r="C744" s="29"/>
      <c r="D744" s="30"/>
      <c r="E744" s="28"/>
      <c r="F744" s="29"/>
      <c r="G744" s="29"/>
      <c r="H744" s="29"/>
      <c r="I744" s="29"/>
      <c r="J744" s="29"/>
      <c r="K744" s="29"/>
      <c r="L744" s="29"/>
      <c r="M744" s="29"/>
      <c r="N744" s="30"/>
      <c r="O744" s="28"/>
      <c r="P744" s="29"/>
      <c r="Q744" s="29" t="s">
        <v>1897</v>
      </c>
      <c r="R744" s="29"/>
      <c r="S744" s="29" t="s">
        <v>29</v>
      </c>
      <c r="T744" s="29">
        <f>T741*T742*T743</f>
        <v>0.432</v>
      </c>
      <c r="U744" s="29"/>
      <c r="V744" s="29"/>
      <c r="W744" s="29"/>
      <c r="X744" s="29"/>
      <c r="Y744" s="29"/>
      <c r="Z744" s="29"/>
      <c r="AA744" s="29"/>
      <c r="AB744" s="29"/>
      <c r="AC744" s="30"/>
      <c r="AD744" s="31"/>
      <c r="AE744" s="31"/>
      <c r="AF744" s="31"/>
      <c r="AG744" s="31"/>
      <c r="AH744" s="31"/>
      <c r="AI744" s="32"/>
    </row>
    <row r="745" spans="1:35" x14ac:dyDescent="0.25">
      <c r="A745" s="27"/>
      <c r="B745" s="28"/>
      <c r="C745" s="29"/>
      <c r="D745" s="30"/>
      <c r="E745" s="28"/>
      <c r="F745" s="29"/>
      <c r="G745" s="29"/>
      <c r="H745" s="29"/>
      <c r="I745" s="29"/>
      <c r="J745" s="29"/>
      <c r="K745" s="29"/>
      <c r="L745" s="29"/>
      <c r="M745" s="29"/>
      <c r="N745" s="30"/>
      <c r="O745" s="28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30"/>
      <c r="AD745" s="31"/>
      <c r="AE745" s="31"/>
      <c r="AF745" s="31"/>
      <c r="AG745" s="31"/>
      <c r="AH745" s="31"/>
      <c r="AI745" s="32"/>
    </row>
    <row r="746" spans="1:35" x14ac:dyDescent="0.25">
      <c r="A746" s="27"/>
      <c r="B746" s="28"/>
      <c r="C746" s="29"/>
      <c r="D746" s="30"/>
      <c r="E746" s="28"/>
      <c r="F746" s="29"/>
      <c r="G746" s="29"/>
      <c r="H746" s="29"/>
      <c r="I746" s="29"/>
      <c r="J746" s="29"/>
      <c r="K746" s="29"/>
      <c r="L746" s="29"/>
      <c r="M746" s="29"/>
      <c r="N746" s="30"/>
      <c r="O746" s="28">
        <v>4</v>
      </c>
      <c r="P746" s="29" t="s">
        <v>1898</v>
      </c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30"/>
      <c r="AD746" s="31"/>
      <c r="AE746" s="31"/>
      <c r="AF746" s="39">
        <f>T750</f>
        <v>0.42750000000000005</v>
      </c>
      <c r="AG746" s="31"/>
      <c r="AH746" s="31"/>
      <c r="AI746" s="32"/>
    </row>
    <row r="747" spans="1:35" x14ac:dyDescent="0.25">
      <c r="A747" s="27"/>
      <c r="B747" s="28"/>
      <c r="C747" s="29"/>
      <c r="D747" s="30"/>
      <c r="E747" s="28"/>
      <c r="F747" s="29"/>
      <c r="G747" s="29"/>
      <c r="H747" s="29"/>
      <c r="I747" s="29"/>
      <c r="J747" s="29"/>
      <c r="K747" s="29"/>
      <c r="L747" s="29"/>
      <c r="M747" s="29"/>
      <c r="N747" s="30"/>
      <c r="O747" s="28"/>
      <c r="P747" s="29"/>
      <c r="Q747" s="29" t="s">
        <v>21</v>
      </c>
      <c r="R747" s="29"/>
      <c r="S747" s="29" t="s">
        <v>29</v>
      </c>
      <c r="T747" s="58">
        <v>1.5</v>
      </c>
      <c r="U747" s="29"/>
      <c r="V747" s="29"/>
      <c r="W747" s="29"/>
      <c r="X747" s="29"/>
      <c r="Y747" s="29"/>
      <c r="Z747" s="29"/>
      <c r="AA747" s="29"/>
      <c r="AB747" s="29"/>
      <c r="AC747" s="30"/>
      <c r="AD747" s="31"/>
      <c r="AE747" s="31"/>
      <c r="AF747" s="31"/>
      <c r="AG747" s="31"/>
      <c r="AH747" s="31"/>
      <c r="AI747" s="32"/>
    </row>
    <row r="748" spans="1:35" x14ac:dyDescent="0.25">
      <c r="A748" s="27"/>
      <c r="B748" s="28"/>
      <c r="C748" s="29"/>
      <c r="D748" s="30"/>
      <c r="E748" s="28"/>
      <c r="F748" s="29"/>
      <c r="G748" s="29"/>
      <c r="H748" s="29"/>
      <c r="I748" s="29"/>
      <c r="J748" s="29"/>
      <c r="K748" s="29"/>
      <c r="L748" s="29"/>
      <c r="M748" s="29"/>
      <c r="N748" s="30"/>
      <c r="O748" s="28"/>
      <c r="P748" s="29"/>
      <c r="Q748" s="29" t="s">
        <v>22</v>
      </c>
      <c r="R748" s="29"/>
      <c r="S748" s="29" t="s">
        <v>29</v>
      </c>
      <c r="T748" s="58">
        <v>2.85</v>
      </c>
      <c r="U748" s="29"/>
      <c r="V748" s="29"/>
      <c r="W748" s="29"/>
      <c r="X748" s="29"/>
      <c r="Y748" s="29"/>
      <c r="Z748" s="29"/>
      <c r="AA748" s="29"/>
      <c r="AB748" s="29"/>
      <c r="AC748" s="30"/>
      <c r="AD748" s="31"/>
      <c r="AE748" s="31"/>
      <c r="AF748" s="31"/>
      <c r="AG748" s="31"/>
      <c r="AH748" s="31"/>
      <c r="AI748" s="32"/>
    </row>
    <row r="749" spans="1:35" x14ac:dyDescent="0.25">
      <c r="A749" s="27"/>
      <c r="B749" s="28"/>
      <c r="C749" s="29"/>
      <c r="D749" s="30"/>
      <c r="E749" s="28"/>
      <c r="F749" s="29"/>
      <c r="G749" s="29"/>
      <c r="H749" s="29"/>
      <c r="I749" s="29"/>
      <c r="J749" s="29"/>
      <c r="K749" s="29"/>
      <c r="L749" s="29"/>
      <c r="M749" s="29"/>
      <c r="N749" s="30"/>
      <c r="O749" s="28"/>
      <c r="P749" s="29"/>
      <c r="Q749" s="29" t="s">
        <v>209</v>
      </c>
      <c r="R749" s="29"/>
      <c r="S749" s="29" t="s">
        <v>29</v>
      </c>
      <c r="T749" s="58">
        <v>0.1</v>
      </c>
      <c r="U749" s="29"/>
      <c r="V749" s="29"/>
      <c r="W749" s="29"/>
      <c r="X749" s="29"/>
      <c r="Y749" s="29"/>
      <c r="Z749" s="29"/>
      <c r="AA749" s="29"/>
      <c r="AB749" s="29"/>
      <c r="AC749" s="30"/>
      <c r="AD749" s="31"/>
      <c r="AE749" s="31"/>
      <c r="AF749" s="31"/>
      <c r="AG749" s="31"/>
      <c r="AH749" s="31"/>
      <c r="AI749" s="32"/>
    </row>
    <row r="750" spans="1:35" x14ac:dyDescent="0.25">
      <c r="A750" s="27"/>
      <c r="B750" s="28"/>
      <c r="C750" s="29"/>
      <c r="D750" s="30"/>
      <c r="E750" s="28"/>
      <c r="F750" s="29"/>
      <c r="G750" s="29"/>
      <c r="H750" s="29"/>
      <c r="I750" s="29"/>
      <c r="J750" s="29"/>
      <c r="K750" s="29"/>
      <c r="L750" s="29"/>
      <c r="M750" s="29"/>
      <c r="N750" s="30"/>
      <c r="O750" s="28"/>
      <c r="P750" s="29"/>
      <c r="Q750" s="29" t="s">
        <v>1897</v>
      </c>
      <c r="R750" s="29"/>
      <c r="S750" s="29" t="s">
        <v>29</v>
      </c>
      <c r="T750" s="29">
        <f>T747*T748*T749</f>
        <v>0.42750000000000005</v>
      </c>
      <c r="U750" s="29"/>
      <c r="V750" s="29"/>
      <c r="W750" s="29"/>
      <c r="X750" s="29"/>
      <c r="Y750" s="29"/>
      <c r="Z750" s="29"/>
      <c r="AA750" s="29"/>
      <c r="AB750" s="29"/>
      <c r="AC750" s="30"/>
      <c r="AD750" s="31"/>
      <c r="AE750" s="31"/>
      <c r="AF750" s="31"/>
      <c r="AG750" s="31"/>
      <c r="AH750" s="31"/>
      <c r="AI750" s="32"/>
    </row>
    <row r="751" spans="1:35" x14ac:dyDescent="0.25">
      <c r="A751" s="27"/>
      <c r="B751" s="28"/>
      <c r="C751" s="29"/>
      <c r="D751" s="30"/>
      <c r="E751" s="28"/>
      <c r="F751" s="29"/>
      <c r="G751" s="29"/>
      <c r="H751" s="29"/>
      <c r="I751" s="29"/>
      <c r="J751" s="29"/>
      <c r="K751" s="29"/>
      <c r="L751" s="29"/>
      <c r="M751" s="29"/>
      <c r="N751" s="30"/>
      <c r="O751" s="28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30"/>
      <c r="AD751" s="31"/>
      <c r="AE751" s="31"/>
      <c r="AF751" s="31"/>
      <c r="AG751" s="31"/>
      <c r="AH751" s="31"/>
      <c r="AI751" s="32"/>
    </row>
    <row r="752" spans="1:35" x14ac:dyDescent="0.25">
      <c r="A752" s="27"/>
      <c r="B752" s="28"/>
      <c r="C752" s="29"/>
      <c r="D752" s="30"/>
      <c r="E752" s="28"/>
      <c r="F752" s="29"/>
      <c r="G752" s="29"/>
      <c r="H752" s="29"/>
      <c r="I752" s="29"/>
      <c r="J752" s="29"/>
      <c r="K752" s="29"/>
      <c r="L752" s="29"/>
      <c r="M752" s="29"/>
      <c r="N752" s="30"/>
      <c r="O752" s="28">
        <v>5</v>
      </c>
      <c r="P752" s="29" t="s">
        <v>314</v>
      </c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30"/>
      <c r="AD752" s="31"/>
      <c r="AE752" s="31"/>
      <c r="AF752" s="39">
        <f>T756</f>
        <v>0.432</v>
      </c>
      <c r="AG752" s="31"/>
      <c r="AH752" s="31"/>
      <c r="AI752" s="32"/>
    </row>
    <row r="753" spans="1:35" x14ac:dyDescent="0.25">
      <c r="A753" s="27"/>
      <c r="B753" s="28"/>
      <c r="C753" s="29"/>
      <c r="D753" s="30"/>
      <c r="E753" s="28"/>
      <c r="F753" s="29"/>
      <c r="G753" s="29"/>
      <c r="H753" s="29"/>
      <c r="I753" s="29"/>
      <c r="J753" s="29"/>
      <c r="K753" s="29"/>
      <c r="L753" s="29"/>
      <c r="M753" s="29"/>
      <c r="N753" s="30"/>
      <c r="O753" s="28"/>
      <c r="P753" s="29"/>
      <c r="Q753" s="29" t="s">
        <v>21</v>
      </c>
      <c r="R753" s="29"/>
      <c r="S753" s="29" t="s">
        <v>29</v>
      </c>
      <c r="T753" s="58">
        <v>1.2</v>
      </c>
      <c r="U753" s="29"/>
      <c r="V753" s="29"/>
      <c r="W753" s="29"/>
      <c r="X753" s="29"/>
      <c r="Y753" s="29"/>
      <c r="Z753" s="29"/>
      <c r="AA753" s="29"/>
      <c r="AB753" s="29"/>
      <c r="AC753" s="30"/>
      <c r="AD753" s="31"/>
      <c r="AE753" s="31"/>
      <c r="AF753" s="31"/>
      <c r="AG753" s="31"/>
      <c r="AH753" s="31"/>
      <c r="AI753" s="32"/>
    </row>
    <row r="754" spans="1:35" x14ac:dyDescent="0.25">
      <c r="A754" s="27"/>
      <c r="B754" s="28"/>
      <c r="C754" s="29"/>
      <c r="D754" s="30"/>
      <c r="E754" s="28"/>
      <c r="F754" s="29"/>
      <c r="G754" s="29"/>
      <c r="H754" s="29"/>
      <c r="I754" s="29"/>
      <c r="J754" s="29"/>
      <c r="K754" s="29"/>
      <c r="L754" s="29"/>
      <c r="M754" s="29"/>
      <c r="N754" s="30"/>
      <c r="O754" s="28"/>
      <c r="P754" s="29"/>
      <c r="Q754" s="29" t="s">
        <v>22</v>
      </c>
      <c r="R754" s="29"/>
      <c r="S754" s="29" t="s">
        <v>29</v>
      </c>
      <c r="T754" s="58">
        <v>1.2</v>
      </c>
      <c r="U754" s="29"/>
      <c r="V754" s="29"/>
      <c r="W754" s="29"/>
      <c r="X754" s="29"/>
      <c r="Y754" s="29"/>
      <c r="Z754" s="29"/>
      <c r="AA754" s="29"/>
      <c r="AB754" s="29"/>
      <c r="AC754" s="30"/>
      <c r="AD754" s="31"/>
      <c r="AE754" s="31"/>
      <c r="AF754" s="31"/>
      <c r="AG754" s="31"/>
      <c r="AH754" s="31"/>
      <c r="AI754" s="32"/>
    </row>
    <row r="755" spans="1:35" x14ac:dyDescent="0.25">
      <c r="A755" s="27"/>
      <c r="B755" s="28"/>
      <c r="C755" s="29"/>
      <c r="D755" s="30"/>
      <c r="E755" s="28"/>
      <c r="F755" s="29"/>
      <c r="G755" s="29"/>
      <c r="H755" s="29"/>
      <c r="I755" s="29"/>
      <c r="J755" s="29"/>
      <c r="K755" s="29"/>
      <c r="L755" s="29"/>
      <c r="M755" s="29"/>
      <c r="N755" s="30"/>
      <c r="O755" s="28"/>
      <c r="P755" s="29"/>
      <c r="Q755" s="29" t="s">
        <v>209</v>
      </c>
      <c r="R755" s="29"/>
      <c r="S755" s="29" t="s">
        <v>29</v>
      </c>
      <c r="T755" s="58">
        <v>0.3</v>
      </c>
      <c r="U755" s="29"/>
      <c r="V755" s="29"/>
      <c r="W755" s="29"/>
      <c r="X755" s="29"/>
      <c r="Y755" s="29"/>
      <c r="Z755" s="29"/>
      <c r="AA755" s="29"/>
      <c r="AB755" s="29"/>
      <c r="AC755" s="30"/>
      <c r="AD755" s="31"/>
      <c r="AE755" s="31"/>
      <c r="AF755" s="31"/>
      <c r="AG755" s="31"/>
      <c r="AH755" s="31"/>
      <c r="AI755" s="32"/>
    </row>
    <row r="756" spans="1:35" x14ac:dyDescent="0.25">
      <c r="A756" s="27"/>
      <c r="B756" s="28"/>
      <c r="C756" s="29"/>
      <c r="D756" s="30"/>
      <c r="E756" s="28"/>
      <c r="F756" s="29"/>
      <c r="G756" s="29"/>
      <c r="H756" s="29"/>
      <c r="I756" s="29"/>
      <c r="J756" s="29"/>
      <c r="K756" s="29"/>
      <c r="L756" s="29"/>
      <c r="M756" s="29"/>
      <c r="N756" s="30"/>
      <c r="O756" s="28"/>
      <c r="P756" s="29"/>
      <c r="Q756" s="29" t="s">
        <v>1897</v>
      </c>
      <c r="R756" s="29"/>
      <c r="S756" s="29" t="s">
        <v>29</v>
      </c>
      <c r="T756" s="29">
        <f>T753*T754*T755</f>
        <v>0.432</v>
      </c>
      <c r="U756" s="29"/>
      <c r="V756" s="29"/>
      <c r="W756" s="29"/>
      <c r="X756" s="29"/>
      <c r="Y756" s="29"/>
      <c r="Z756" s="29"/>
      <c r="AA756" s="29"/>
      <c r="AB756" s="29"/>
      <c r="AC756" s="30"/>
      <c r="AD756" s="31"/>
      <c r="AE756" s="31"/>
      <c r="AF756" s="31"/>
      <c r="AG756" s="31"/>
      <c r="AH756" s="31"/>
      <c r="AI756" s="32"/>
    </row>
    <row r="757" spans="1:35" x14ac:dyDescent="0.25">
      <c r="A757" s="27"/>
      <c r="B757" s="28"/>
      <c r="C757" s="29"/>
      <c r="D757" s="30"/>
      <c r="E757" s="28"/>
      <c r="F757" s="29"/>
      <c r="G757" s="29"/>
      <c r="H757" s="29"/>
      <c r="I757" s="29"/>
      <c r="J757" s="29"/>
      <c r="K757" s="29"/>
      <c r="L757" s="29"/>
      <c r="M757" s="29"/>
      <c r="N757" s="30"/>
      <c r="O757" s="28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30"/>
      <c r="AD757" s="31"/>
      <c r="AE757" s="31"/>
      <c r="AF757" s="31"/>
      <c r="AG757" s="31"/>
      <c r="AH757" s="31"/>
      <c r="AI757" s="32"/>
    </row>
    <row r="758" spans="1:35" x14ac:dyDescent="0.25">
      <c r="A758" s="27"/>
      <c r="B758" s="28"/>
      <c r="C758" s="29"/>
      <c r="D758" s="30"/>
      <c r="E758" s="28"/>
      <c r="F758" s="29"/>
      <c r="G758" s="29"/>
      <c r="H758" s="29"/>
      <c r="I758" s="29"/>
      <c r="J758" s="29"/>
      <c r="K758" s="29"/>
      <c r="L758" s="29"/>
      <c r="M758" s="29"/>
      <c r="N758" s="30"/>
      <c r="O758" s="28">
        <v>6</v>
      </c>
      <c r="P758" s="29" t="s">
        <v>1899</v>
      </c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30"/>
      <c r="AD758" s="31"/>
      <c r="AE758" s="31"/>
      <c r="AF758" s="39">
        <f>T762</f>
        <v>0.432</v>
      </c>
      <c r="AG758" s="31"/>
      <c r="AH758" s="31"/>
      <c r="AI758" s="32"/>
    </row>
    <row r="759" spans="1:35" x14ac:dyDescent="0.25">
      <c r="A759" s="27"/>
      <c r="B759" s="28"/>
      <c r="C759" s="29"/>
      <c r="D759" s="30"/>
      <c r="E759" s="28"/>
      <c r="F759" s="29"/>
      <c r="G759" s="29"/>
      <c r="H759" s="29"/>
      <c r="I759" s="29"/>
      <c r="J759" s="29"/>
      <c r="K759" s="29"/>
      <c r="L759" s="29"/>
      <c r="M759" s="29"/>
      <c r="N759" s="30"/>
      <c r="O759" s="28"/>
      <c r="P759" s="29"/>
      <c r="Q759" s="29" t="s">
        <v>21</v>
      </c>
      <c r="R759" s="29"/>
      <c r="S759" s="29" t="s">
        <v>29</v>
      </c>
      <c r="T759" s="58">
        <v>1.2</v>
      </c>
      <c r="U759" s="29"/>
      <c r="V759" s="29"/>
      <c r="W759" s="29"/>
      <c r="X759" s="29"/>
      <c r="Y759" s="29"/>
      <c r="Z759" s="29"/>
      <c r="AA759" s="29"/>
      <c r="AB759" s="29"/>
      <c r="AC759" s="30"/>
      <c r="AD759" s="31"/>
      <c r="AE759" s="31"/>
      <c r="AF759" s="31"/>
      <c r="AG759" s="31"/>
      <c r="AH759" s="31"/>
      <c r="AI759" s="32"/>
    </row>
    <row r="760" spans="1:35" x14ac:dyDescent="0.25">
      <c r="A760" s="27"/>
      <c r="B760" s="28"/>
      <c r="C760" s="29"/>
      <c r="D760" s="30"/>
      <c r="E760" s="28"/>
      <c r="F760" s="29"/>
      <c r="G760" s="29"/>
      <c r="H760" s="29"/>
      <c r="I760" s="29"/>
      <c r="J760" s="29"/>
      <c r="K760" s="29"/>
      <c r="L760" s="29"/>
      <c r="M760" s="29"/>
      <c r="N760" s="30"/>
      <c r="O760" s="28"/>
      <c r="P760" s="29"/>
      <c r="Q760" s="29" t="s">
        <v>22</v>
      </c>
      <c r="R760" s="29"/>
      <c r="S760" s="29" t="s">
        <v>29</v>
      </c>
      <c r="T760" s="58">
        <v>1.2</v>
      </c>
      <c r="U760" s="29"/>
      <c r="V760" s="29"/>
      <c r="W760" s="29"/>
      <c r="X760" s="29"/>
      <c r="Y760" s="29"/>
      <c r="Z760" s="29"/>
      <c r="AA760" s="29"/>
      <c r="AB760" s="29"/>
      <c r="AC760" s="30"/>
      <c r="AD760" s="31"/>
      <c r="AE760" s="31"/>
      <c r="AF760" s="31"/>
      <c r="AG760" s="31"/>
      <c r="AH760" s="31"/>
      <c r="AI760" s="32"/>
    </row>
    <row r="761" spans="1:35" x14ac:dyDescent="0.25">
      <c r="A761" s="27"/>
      <c r="B761" s="28"/>
      <c r="C761" s="29"/>
      <c r="D761" s="30"/>
      <c r="E761" s="28"/>
      <c r="F761" s="29"/>
      <c r="G761" s="29"/>
      <c r="H761" s="29"/>
      <c r="I761" s="29"/>
      <c r="J761" s="29"/>
      <c r="K761" s="29"/>
      <c r="L761" s="29"/>
      <c r="M761" s="29"/>
      <c r="N761" s="30"/>
      <c r="O761" s="28"/>
      <c r="P761" s="29"/>
      <c r="Q761" s="29" t="s">
        <v>209</v>
      </c>
      <c r="R761" s="29"/>
      <c r="S761" s="29" t="s">
        <v>29</v>
      </c>
      <c r="T761" s="58">
        <v>0.3</v>
      </c>
      <c r="U761" s="29"/>
      <c r="V761" s="29"/>
      <c r="W761" s="29"/>
      <c r="X761" s="29"/>
      <c r="Y761" s="29"/>
      <c r="Z761" s="29"/>
      <c r="AA761" s="29"/>
      <c r="AB761" s="29"/>
      <c r="AC761" s="30"/>
      <c r="AD761" s="31"/>
      <c r="AE761" s="31"/>
      <c r="AF761" s="31"/>
      <c r="AG761" s="31"/>
      <c r="AH761" s="31"/>
      <c r="AI761" s="32"/>
    </row>
    <row r="762" spans="1:35" x14ac:dyDescent="0.25">
      <c r="A762" s="27"/>
      <c r="B762" s="28"/>
      <c r="C762" s="29"/>
      <c r="D762" s="30"/>
      <c r="E762" s="28"/>
      <c r="F762" s="29"/>
      <c r="G762" s="29"/>
      <c r="H762" s="29"/>
      <c r="I762" s="29"/>
      <c r="J762" s="29"/>
      <c r="K762" s="29"/>
      <c r="L762" s="29"/>
      <c r="M762" s="29"/>
      <c r="N762" s="30"/>
      <c r="O762" s="28"/>
      <c r="P762" s="29"/>
      <c r="Q762" s="29" t="s">
        <v>1897</v>
      </c>
      <c r="R762" s="29"/>
      <c r="S762" s="29" t="s">
        <v>29</v>
      </c>
      <c r="T762" s="29">
        <f>T759*T760*T761</f>
        <v>0.432</v>
      </c>
      <c r="U762" s="29"/>
      <c r="V762" s="29"/>
      <c r="W762" s="29"/>
      <c r="X762" s="29"/>
      <c r="Y762" s="29"/>
      <c r="Z762" s="29"/>
      <c r="AA762" s="29"/>
      <c r="AB762" s="29"/>
      <c r="AC762" s="30"/>
      <c r="AD762" s="31"/>
      <c r="AE762" s="31"/>
      <c r="AF762" s="31"/>
      <c r="AG762" s="31"/>
      <c r="AH762" s="31"/>
      <c r="AI762" s="32"/>
    </row>
    <row r="763" spans="1:35" x14ac:dyDescent="0.25">
      <c r="A763" s="27"/>
      <c r="B763" s="28"/>
      <c r="C763" s="29"/>
      <c r="D763" s="30"/>
      <c r="E763" s="28"/>
      <c r="F763" s="29"/>
      <c r="G763" s="29"/>
      <c r="H763" s="29"/>
      <c r="I763" s="29"/>
      <c r="J763" s="29"/>
      <c r="K763" s="29"/>
      <c r="L763" s="29"/>
      <c r="M763" s="29"/>
      <c r="N763" s="30"/>
      <c r="O763" s="28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30"/>
      <c r="AD763" s="31"/>
      <c r="AE763" s="31"/>
      <c r="AF763" s="31"/>
      <c r="AG763" s="31"/>
      <c r="AH763" s="31"/>
      <c r="AI763" s="32"/>
    </row>
    <row r="764" spans="1:35" x14ac:dyDescent="0.25">
      <c r="A764" s="27"/>
      <c r="B764" s="28"/>
      <c r="C764" s="29"/>
      <c r="D764" s="30"/>
      <c r="E764" s="28"/>
      <c r="F764" s="29"/>
      <c r="G764" s="29"/>
      <c r="H764" s="29"/>
      <c r="I764" s="29"/>
      <c r="J764" s="29"/>
      <c r="K764" s="29"/>
      <c r="L764" s="29"/>
      <c r="M764" s="29"/>
      <c r="N764" s="30"/>
      <c r="O764" s="28">
        <v>7</v>
      </c>
      <c r="P764" s="29" t="s">
        <v>315</v>
      </c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30"/>
      <c r="AD764" s="31"/>
      <c r="AE764" s="39">
        <f>S769+S775</f>
        <v>5.1199999999999992</v>
      </c>
      <c r="AF764" s="31"/>
      <c r="AG764" s="31"/>
      <c r="AH764" s="31"/>
      <c r="AI764" s="32"/>
    </row>
    <row r="765" spans="1:35" x14ac:dyDescent="0.25">
      <c r="A765" s="27"/>
      <c r="B765" s="28"/>
      <c r="C765" s="29"/>
      <c r="D765" s="30"/>
      <c r="E765" s="28"/>
      <c r="F765" s="29"/>
      <c r="G765" s="29"/>
      <c r="H765" s="29"/>
      <c r="I765" s="29"/>
      <c r="J765" s="29"/>
      <c r="K765" s="29"/>
      <c r="L765" s="29"/>
      <c r="M765" s="29"/>
      <c r="N765" s="30"/>
      <c r="O765" s="28"/>
      <c r="P765" s="29"/>
      <c r="Q765" s="29" t="s">
        <v>208</v>
      </c>
      <c r="R765" s="29"/>
      <c r="S765" s="29" t="s">
        <v>29</v>
      </c>
      <c r="T765" s="58">
        <v>2</v>
      </c>
      <c r="U765" s="29"/>
      <c r="V765" s="29"/>
      <c r="W765" s="29"/>
      <c r="X765" s="29"/>
      <c r="Y765" s="29"/>
      <c r="Z765" s="29"/>
      <c r="AA765" s="29"/>
      <c r="AB765" s="29"/>
      <c r="AC765" s="30"/>
      <c r="AD765" s="31"/>
      <c r="AE765" s="31"/>
      <c r="AF765" s="31"/>
      <c r="AG765" s="31"/>
      <c r="AH765" s="31"/>
      <c r="AI765" s="32"/>
    </row>
    <row r="766" spans="1:35" x14ac:dyDescent="0.25">
      <c r="A766" s="27"/>
      <c r="B766" s="28"/>
      <c r="C766" s="29"/>
      <c r="D766" s="30"/>
      <c r="E766" s="28"/>
      <c r="F766" s="29"/>
      <c r="G766" s="29"/>
      <c r="H766" s="29"/>
      <c r="I766" s="29"/>
      <c r="J766" s="29"/>
      <c r="K766" s="29"/>
      <c r="L766" s="29"/>
      <c r="M766" s="29"/>
      <c r="N766" s="30"/>
      <c r="O766" s="28"/>
      <c r="P766" s="29"/>
      <c r="Q766" s="29" t="s">
        <v>21</v>
      </c>
      <c r="R766" s="29"/>
      <c r="S766" s="29" t="s">
        <v>29</v>
      </c>
      <c r="T766" s="58">
        <v>1.1499999999999999</v>
      </c>
      <c r="U766" s="29"/>
      <c r="V766" s="29"/>
      <c r="W766" s="29"/>
      <c r="X766" s="29"/>
      <c r="Y766" s="29"/>
      <c r="Z766" s="29"/>
      <c r="AA766" s="29"/>
      <c r="AB766" s="29"/>
      <c r="AC766" s="30"/>
      <c r="AD766" s="31"/>
      <c r="AE766" s="31"/>
      <c r="AF766" s="31"/>
      <c r="AG766" s="31"/>
      <c r="AH766" s="31"/>
      <c r="AI766" s="32"/>
    </row>
    <row r="767" spans="1:35" x14ac:dyDescent="0.25">
      <c r="A767" s="27"/>
      <c r="B767" s="28"/>
      <c r="C767" s="29"/>
      <c r="D767" s="30"/>
      <c r="E767" s="28"/>
      <c r="F767" s="29"/>
      <c r="G767" s="29"/>
      <c r="H767" s="29"/>
      <c r="I767" s="29"/>
      <c r="J767" s="29"/>
      <c r="K767" s="29"/>
      <c r="L767" s="29"/>
      <c r="M767" s="29"/>
      <c r="N767" s="30"/>
      <c r="O767" s="28"/>
      <c r="P767" s="29"/>
      <c r="Q767" s="29" t="s">
        <v>22</v>
      </c>
      <c r="R767" s="29"/>
      <c r="S767" s="29" t="s">
        <v>29</v>
      </c>
      <c r="T767" s="58">
        <v>1.6</v>
      </c>
      <c r="U767" s="29"/>
      <c r="V767" s="29"/>
      <c r="W767" s="29"/>
      <c r="X767" s="29"/>
      <c r="Y767" s="29"/>
      <c r="Z767" s="29"/>
      <c r="AA767" s="29"/>
      <c r="AB767" s="29"/>
      <c r="AC767" s="30"/>
      <c r="AD767" s="31"/>
      <c r="AE767" s="31"/>
      <c r="AF767" s="31"/>
      <c r="AG767" s="31"/>
      <c r="AH767" s="31"/>
      <c r="AI767" s="32"/>
    </row>
    <row r="768" spans="1:35" x14ac:dyDescent="0.25">
      <c r="A768" s="27"/>
      <c r="B768" s="28"/>
      <c r="C768" s="29"/>
      <c r="D768" s="30"/>
      <c r="E768" s="28"/>
      <c r="F768" s="29"/>
      <c r="G768" s="29"/>
      <c r="H768" s="29"/>
      <c r="I768" s="29"/>
      <c r="J768" s="29"/>
      <c r="K768" s="29"/>
      <c r="L768" s="29"/>
      <c r="M768" s="29"/>
      <c r="N768" s="30"/>
      <c r="O768" s="28"/>
      <c r="P768" s="29"/>
      <c r="Q768" s="29" t="s">
        <v>278</v>
      </c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30"/>
      <c r="AD768" s="31"/>
      <c r="AE768" s="31"/>
      <c r="AF768" s="31"/>
      <c r="AG768" s="31"/>
      <c r="AH768" s="31"/>
      <c r="AI768" s="32"/>
    </row>
    <row r="769" spans="1:35" x14ac:dyDescent="0.25">
      <c r="A769" s="27"/>
      <c r="B769" s="28"/>
      <c r="C769" s="29"/>
      <c r="D769" s="30"/>
      <c r="E769" s="28"/>
      <c r="F769" s="29"/>
      <c r="G769" s="29"/>
      <c r="H769" s="29"/>
      <c r="I769" s="29"/>
      <c r="J769" s="29"/>
      <c r="K769" s="29"/>
      <c r="L769" s="29"/>
      <c r="M769" s="29"/>
      <c r="N769" s="30"/>
      <c r="O769" s="28"/>
      <c r="P769" s="29"/>
      <c r="Q769" s="29" t="s">
        <v>277</v>
      </c>
      <c r="R769" s="29"/>
      <c r="S769" s="29">
        <f>(T766*T767)*T765</f>
        <v>3.6799999999999997</v>
      </c>
      <c r="T769" s="29" t="s">
        <v>82</v>
      </c>
      <c r="U769" s="29"/>
      <c r="V769" s="29"/>
      <c r="W769" s="29"/>
      <c r="X769" s="29"/>
      <c r="Y769" s="29"/>
      <c r="Z769" s="29"/>
      <c r="AA769" s="29"/>
      <c r="AB769" s="29"/>
      <c r="AC769" s="30"/>
      <c r="AD769" s="31"/>
      <c r="AE769" s="31"/>
      <c r="AF769" s="31"/>
      <c r="AG769" s="31"/>
      <c r="AH769" s="31"/>
      <c r="AI769" s="32"/>
    </row>
    <row r="770" spans="1:35" x14ac:dyDescent="0.25">
      <c r="A770" s="27"/>
      <c r="B770" s="28"/>
      <c r="C770" s="29"/>
      <c r="D770" s="30"/>
      <c r="E770" s="28"/>
      <c r="F770" s="29"/>
      <c r="G770" s="29"/>
      <c r="H770" s="29"/>
      <c r="I770" s="29"/>
      <c r="J770" s="29"/>
      <c r="K770" s="29"/>
      <c r="L770" s="29"/>
      <c r="M770" s="29"/>
      <c r="N770" s="30"/>
      <c r="O770" s="28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30"/>
      <c r="AD770" s="31"/>
      <c r="AE770" s="31"/>
      <c r="AF770" s="31"/>
      <c r="AG770" s="31"/>
      <c r="AH770" s="31"/>
      <c r="AI770" s="32"/>
    </row>
    <row r="771" spans="1:35" x14ac:dyDescent="0.25">
      <c r="A771" s="27"/>
      <c r="B771" s="28"/>
      <c r="C771" s="29"/>
      <c r="D771" s="30"/>
      <c r="E771" s="28"/>
      <c r="F771" s="29"/>
      <c r="G771" s="29"/>
      <c r="H771" s="29"/>
      <c r="I771" s="29"/>
      <c r="J771" s="29"/>
      <c r="K771" s="29"/>
      <c r="L771" s="29"/>
      <c r="M771" s="29"/>
      <c r="N771" s="30"/>
      <c r="O771" s="28"/>
      <c r="P771" s="29"/>
      <c r="Q771" s="29" t="s">
        <v>208</v>
      </c>
      <c r="R771" s="29"/>
      <c r="S771" s="29" t="s">
        <v>29</v>
      </c>
      <c r="T771" s="58">
        <v>1</v>
      </c>
      <c r="U771" s="29"/>
      <c r="V771" s="29"/>
      <c r="W771" s="29"/>
      <c r="X771" s="29"/>
      <c r="Y771" s="29"/>
      <c r="Z771" s="29"/>
      <c r="AA771" s="29"/>
      <c r="AB771" s="29"/>
      <c r="AC771" s="30"/>
      <c r="AD771" s="31"/>
      <c r="AE771" s="31"/>
      <c r="AF771" s="31"/>
      <c r="AG771" s="31"/>
      <c r="AH771" s="31"/>
      <c r="AI771" s="32"/>
    </row>
    <row r="772" spans="1:35" x14ac:dyDescent="0.25">
      <c r="A772" s="27"/>
      <c r="B772" s="28"/>
      <c r="C772" s="29"/>
      <c r="D772" s="30"/>
      <c r="E772" s="28"/>
      <c r="F772" s="29"/>
      <c r="G772" s="29"/>
      <c r="H772" s="29"/>
      <c r="I772" s="29"/>
      <c r="J772" s="29"/>
      <c r="K772" s="29"/>
      <c r="L772" s="29"/>
      <c r="M772" s="29"/>
      <c r="N772" s="30"/>
      <c r="O772" s="28"/>
      <c r="P772" s="29"/>
      <c r="Q772" s="29" t="s">
        <v>21</v>
      </c>
      <c r="R772" s="29"/>
      <c r="S772" s="29" t="s">
        <v>29</v>
      </c>
      <c r="T772" s="58">
        <v>1.2</v>
      </c>
      <c r="U772" s="29"/>
      <c r="V772" s="29"/>
      <c r="W772" s="29"/>
      <c r="X772" s="29"/>
      <c r="Y772" s="29"/>
      <c r="Z772" s="29"/>
      <c r="AA772" s="29"/>
      <c r="AB772" s="29"/>
      <c r="AC772" s="30"/>
      <c r="AD772" s="31"/>
      <c r="AE772" s="31"/>
      <c r="AF772" s="31"/>
      <c r="AG772" s="31"/>
      <c r="AH772" s="31"/>
      <c r="AI772" s="32"/>
    </row>
    <row r="773" spans="1:35" x14ac:dyDescent="0.25">
      <c r="A773" s="27"/>
      <c r="B773" s="28"/>
      <c r="C773" s="29"/>
      <c r="D773" s="30"/>
      <c r="E773" s="28"/>
      <c r="F773" s="29"/>
      <c r="G773" s="29"/>
      <c r="H773" s="29"/>
      <c r="I773" s="29"/>
      <c r="J773" s="29"/>
      <c r="K773" s="29"/>
      <c r="L773" s="29"/>
      <c r="M773" s="29"/>
      <c r="N773" s="30"/>
      <c r="O773" s="28"/>
      <c r="P773" s="29"/>
      <c r="Q773" s="29" t="s">
        <v>22</v>
      </c>
      <c r="R773" s="29"/>
      <c r="S773" s="29" t="s">
        <v>29</v>
      </c>
      <c r="T773" s="58">
        <v>1.2</v>
      </c>
      <c r="U773" s="29"/>
      <c r="V773" s="29"/>
      <c r="W773" s="29"/>
      <c r="X773" s="29"/>
      <c r="Y773" s="29"/>
      <c r="Z773" s="29"/>
      <c r="AA773" s="29"/>
      <c r="AB773" s="29"/>
      <c r="AC773" s="30"/>
      <c r="AD773" s="31"/>
      <c r="AE773" s="31"/>
      <c r="AF773" s="31"/>
      <c r="AG773" s="31"/>
      <c r="AH773" s="31"/>
      <c r="AI773" s="32"/>
    </row>
    <row r="774" spans="1:35" x14ac:dyDescent="0.25">
      <c r="A774" s="27"/>
      <c r="B774" s="28"/>
      <c r="C774" s="29"/>
      <c r="D774" s="30"/>
      <c r="E774" s="28"/>
      <c r="F774" s="29"/>
      <c r="G774" s="29"/>
      <c r="H774" s="29"/>
      <c r="I774" s="29"/>
      <c r="J774" s="29"/>
      <c r="K774" s="29"/>
      <c r="L774" s="29"/>
      <c r="M774" s="29"/>
      <c r="N774" s="30"/>
      <c r="O774" s="28"/>
      <c r="P774" s="29"/>
      <c r="Q774" s="29" t="s">
        <v>278</v>
      </c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30"/>
      <c r="AD774" s="31"/>
      <c r="AE774" s="31"/>
      <c r="AF774" s="31"/>
      <c r="AG774" s="31"/>
      <c r="AH774" s="31"/>
      <c r="AI774" s="32"/>
    </row>
    <row r="775" spans="1:35" ht="15.75" thickBot="1" x14ac:dyDescent="0.3">
      <c r="A775" s="5"/>
      <c r="B775" s="17"/>
      <c r="C775" s="18"/>
      <c r="D775" s="19"/>
      <c r="E775" s="17"/>
      <c r="F775" s="18"/>
      <c r="G775" s="18"/>
      <c r="H775" s="18"/>
      <c r="I775" s="18"/>
      <c r="J775" s="18"/>
      <c r="K775" s="18"/>
      <c r="L775" s="18"/>
      <c r="M775" s="18"/>
      <c r="N775" s="19"/>
      <c r="O775" s="17"/>
      <c r="P775" s="18"/>
      <c r="Q775" s="18" t="s">
        <v>277</v>
      </c>
      <c r="R775" s="18"/>
      <c r="S775" s="18">
        <f>(T772*T773)*T771</f>
        <v>1.44</v>
      </c>
      <c r="T775" s="18" t="s">
        <v>82</v>
      </c>
      <c r="U775" s="18"/>
      <c r="V775" s="18"/>
      <c r="W775" s="18"/>
      <c r="X775" s="18"/>
      <c r="Y775" s="18"/>
      <c r="Z775" s="18"/>
      <c r="AA775" s="18"/>
      <c r="AB775" s="18"/>
      <c r="AC775" s="19"/>
      <c r="AD775" s="6"/>
      <c r="AE775" s="6"/>
      <c r="AF775" s="6"/>
      <c r="AG775" s="6"/>
      <c r="AH775" s="6"/>
      <c r="AI775" s="7"/>
    </row>
    <row r="776" spans="1:35" ht="15.75" thickTop="1" x14ac:dyDescent="0.25">
      <c r="A776" s="597"/>
      <c r="B776" s="272"/>
      <c r="C776" s="598"/>
      <c r="D776" s="273"/>
      <c r="E776" s="272"/>
      <c r="F776" s="598"/>
      <c r="G776" s="598"/>
      <c r="H776" s="598"/>
      <c r="I776" s="598"/>
      <c r="J776" s="598"/>
      <c r="K776" s="598"/>
      <c r="L776" s="598"/>
      <c r="M776" s="598"/>
      <c r="N776" s="273"/>
      <c r="O776" s="272"/>
      <c r="P776" s="598"/>
      <c r="Q776" s="598"/>
      <c r="R776" s="598"/>
      <c r="S776" s="598"/>
      <c r="T776" s="598"/>
      <c r="U776" s="598"/>
      <c r="V776" s="598"/>
      <c r="W776" s="598"/>
      <c r="X776" s="598"/>
      <c r="Y776" s="598"/>
      <c r="Z776" s="598"/>
      <c r="AA776" s="598"/>
      <c r="AB776" s="598"/>
      <c r="AC776" s="273"/>
      <c r="AD776" s="274"/>
      <c r="AE776" s="274"/>
      <c r="AF776" s="274"/>
      <c r="AG776" s="274"/>
      <c r="AH776" s="274"/>
      <c r="AI776" s="599"/>
    </row>
    <row r="777" spans="1:35" x14ac:dyDescent="0.25">
      <c r="A777" s="27"/>
      <c r="B777" s="28"/>
      <c r="C777" s="29"/>
      <c r="D777" s="30"/>
      <c r="E777" s="28"/>
      <c r="F777" s="29"/>
      <c r="G777" s="29"/>
      <c r="H777" s="29"/>
      <c r="I777" s="29"/>
      <c r="J777" s="29"/>
      <c r="K777" s="29"/>
      <c r="L777" s="29"/>
      <c r="M777" s="29"/>
      <c r="N777" s="30"/>
      <c r="O777" s="28">
        <v>8</v>
      </c>
      <c r="P777" s="29" t="s">
        <v>316</v>
      </c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30"/>
      <c r="AD777" s="31"/>
      <c r="AE777" s="31"/>
      <c r="AF777" s="357">
        <f>T782+T788</f>
        <v>0.28350000000000003</v>
      </c>
      <c r="AG777" s="31"/>
      <c r="AH777" s="31"/>
      <c r="AI777" s="32"/>
    </row>
    <row r="778" spans="1:35" x14ac:dyDescent="0.25">
      <c r="A778" s="27"/>
      <c r="B778" s="28"/>
      <c r="C778" s="29"/>
      <c r="D778" s="30"/>
      <c r="E778" s="28"/>
      <c r="F778" s="29"/>
      <c r="G778" s="29"/>
      <c r="H778" s="29"/>
      <c r="I778" s="29"/>
      <c r="J778" s="29"/>
      <c r="K778" s="29"/>
      <c r="L778" s="29"/>
      <c r="M778" s="29"/>
      <c r="N778" s="30"/>
      <c r="O778" s="28"/>
      <c r="P778" s="29"/>
      <c r="Q778" s="29" t="s">
        <v>208</v>
      </c>
      <c r="R778" s="29"/>
      <c r="S778" s="29" t="s">
        <v>29</v>
      </c>
      <c r="T778" s="29">
        <v>3</v>
      </c>
      <c r="U778" s="29"/>
      <c r="V778" s="29"/>
      <c r="W778" s="29"/>
      <c r="X778" s="29"/>
      <c r="Y778" s="29"/>
      <c r="Z778" s="29"/>
      <c r="AA778" s="29"/>
      <c r="AB778" s="29"/>
      <c r="AC778" s="30"/>
      <c r="AD778" s="31"/>
      <c r="AE778" s="31"/>
      <c r="AF778" s="31"/>
      <c r="AG778" s="31"/>
      <c r="AH778" s="31"/>
      <c r="AI778" s="32"/>
    </row>
    <row r="779" spans="1:35" x14ac:dyDescent="0.25">
      <c r="A779" s="27"/>
      <c r="B779" s="28"/>
      <c r="C779" s="29"/>
      <c r="D779" s="30"/>
      <c r="E779" s="28"/>
      <c r="F779" s="29"/>
      <c r="G779" s="29"/>
      <c r="H779" s="29"/>
      <c r="I779" s="29"/>
      <c r="J779" s="29"/>
      <c r="K779" s="29"/>
      <c r="L779" s="29"/>
      <c r="M779" s="29"/>
      <c r="N779" s="30"/>
      <c r="O779" s="28"/>
      <c r="P779" s="29"/>
      <c r="Q779" s="29" t="s">
        <v>21</v>
      </c>
      <c r="R779" s="29"/>
      <c r="S779" s="29" t="s">
        <v>29</v>
      </c>
      <c r="T779" s="29">
        <v>1.35</v>
      </c>
      <c r="U779" s="29"/>
      <c r="V779" s="29"/>
      <c r="W779" s="29"/>
      <c r="X779" s="29"/>
      <c r="Y779" s="29"/>
      <c r="Z779" s="29"/>
      <c r="AA779" s="29"/>
      <c r="AB779" s="29"/>
      <c r="AC779" s="30"/>
      <c r="AD779" s="31"/>
      <c r="AE779" s="31"/>
      <c r="AF779" s="31"/>
      <c r="AG779" s="31"/>
      <c r="AH779" s="31"/>
      <c r="AI779" s="32"/>
    </row>
    <row r="780" spans="1:35" x14ac:dyDescent="0.25">
      <c r="A780" s="27"/>
      <c r="B780" s="28"/>
      <c r="C780" s="29"/>
      <c r="D780" s="30"/>
      <c r="E780" s="28"/>
      <c r="F780" s="29"/>
      <c r="G780" s="29"/>
      <c r="H780" s="29"/>
      <c r="I780" s="29"/>
      <c r="J780" s="29"/>
      <c r="K780" s="29"/>
      <c r="L780" s="29"/>
      <c r="M780" s="29"/>
      <c r="N780" s="30"/>
      <c r="O780" s="28"/>
      <c r="P780" s="29"/>
      <c r="Q780" s="29" t="s">
        <v>22</v>
      </c>
      <c r="R780" s="29"/>
      <c r="S780" s="29" t="s">
        <v>29</v>
      </c>
      <c r="T780" s="29">
        <v>0.15</v>
      </c>
      <c r="U780" s="29"/>
      <c r="V780" s="29"/>
      <c r="W780" s="29"/>
      <c r="X780" s="29"/>
      <c r="Y780" s="29"/>
      <c r="Z780" s="29"/>
      <c r="AA780" s="29"/>
      <c r="AB780" s="29"/>
      <c r="AC780" s="30"/>
      <c r="AD780" s="31"/>
      <c r="AE780" s="31"/>
      <c r="AF780" s="31"/>
      <c r="AG780" s="31"/>
      <c r="AH780" s="31"/>
      <c r="AI780" s="32"/>
    </row>
    <row r="781" spans="1:35" x14ac:dyDescent="0.25">
      <c r="A781" s="27"/>
      <c r="B781" s="28"/>
      <c r="C781" s="29"/>
      <c r="D781" s="30"/>
      <c r="E781" s="28"/>
      <c r="F781" s="29"/>
      <c r="G781" s="29"/>
      <c r="H781" s="29"/>
      <c r="I781" s="29"/>
      <c r="J781" s="29"/>
      <c r="K781" s="29"/>
      <c r="L781" s="29"/>
      <c r="M781" s="29"/>
      <c r="N781" s="30"/>
      <c r="O781" s="28"/>
      <c r="P781" s="29"/>
      <c r="Q781" s="29" t="s">
        <v>209</v>
      </c>
      <c r="R781" s="29"/>
      <c r="S781" s="29" t="s">
        <v>29</v>
      </c>
      <c r="T781" s="29">
        <v>0.2</v>
      </c>
      <c r="U781" s="29"/>
      <c r="V781" s="29"/>
      <c r="W781" s="29"/>
      <c r="X781" s="29"/>
      <c r="Y781" s="29"/>
      <c r="Z781" s="29"/>
      <c r="AA781" s="29"/>
      <c r="AB781" s="29"/>
      <c r="AC781" s="30"/>
      <c r="AD781" s="31"/>
      <c r="AE781" s="31"/>
      <c r="AF781" s="31"/>
      <c r="AG781" s="31"/>
      <c r="AH781" s="31"/>
      <c r="AI781" s="32"/>
    </row>
    <row r="782" spans="1:35" x14ac:dyDescent="0.25">
      <c r="A782" s="27"/>
      <c r="B782" s="28"/>
      <c r="C782" s="29"/>
      <c r="D782" s="30"/>
      <c r="E782" s="28"/>
      <c r="F782" s="29"/>
      <c r="G782" s="29"/>
      <c r="H782" s="29"/>
      <c r="I782" s="29"/>
      <c r="J782" s="29"/>
      <c r="K782" s="29"/>
      <c r="L782" s="29"/>
      <c r="M782" s="29"/>
      <c r="N782" s="30"/>
      <c r="O782" s="28"/>
      <c r="P782" s="29"/>
      <c r="Q782" s="29" t="s">
        <v>210</v>
      </c>
      <c r="R782" s="29"/>
      <c r="S782" s="29" t="s">
        <v>29</v>
      </c>
      <c r="T782" s="29">
        <f>T778*T779*T780*T781</f>
        <v>0.12150000000000001</v>
      </c>
      <c r="U782" s="29"/>
      <c r="V782" s="29"/>
      <c r="W782" s="29"/>
      <c r="X782" s="29"/>
      <c r="Y782" s="29"/>
      <c r="Z782" s="29"/>
      <c r="AA782" s="29"/>
      <c r="AB782" s="29"/>
      <c r="AC782" s="30"/>
      <c r="AD782" s="31"/>
      <c r="AE782" s="31"/>
      <c r="AF782" s="31"/>
      <c r="AG782" s="31"/>
      <c r="AH782" s="31"/>
      <c r="AI782" s="32"/>
    </row>
    <row r="783" spans="1:35" x14ac:dyDescent="0.25">
      <c r="A783" s="27"/>
      <c r="B783" s="28"/>
      <c r="C783" s="29"/>
      <c r="D783" s="30"/>
      <c r="E783" s="28"/>
      <c r="F783" s="29"/>
      <c r="G783" s="29"/>
      <c r="H783" s="29"/>
      <c r="I783" s="29"/>
      <c r="J783" s="29"/>
      <c r="K783" s="29"/>
      <c r="L783" s="29"/>
      <c r="M783" s="29"/>
      <c r="N783" s="30"/>
      <c r="O783" s="28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30"/>
      <c r="AD783" s="31"/>
      <c r="AE783" s="31"/>
      <c r="AF783" s="31"/>
      <c r="AG783" s="31"/>
      <c r="AH783" s="31"/>
      <c r="AI783" s="32"/>
    </row>
    <row r="784" spans="1:35" x14ac:dyDescent="0.25">
      <c r="A784" s="27"/>
      <c r="B784" s="28"/>
      <c r="C784" s="29"/>
      <c r="D784" s="30"/>
      <c r="E784" s="28"/>
      <c r="F784" s="29"/>
      <c r="G784" s="29"/>
      <c r="H784" s="29"/>
      <c r="I784" s="29"/>
      <c r="J784" s="29"/>
      <c r="K784" s="29"/>
      <c r="L784" s="29"/>
      <c r="M784" s="29"/>
      <c r="N784" s="30"/>
      <c r="O784" s="28"/>
      <c r="P784" s="29"/>
      <c r="Q784" s="29" t="s">
        <v>208</v>
      </c>
      <c r="R784" s="29"/>
      <c r="S784" s="29" t="s">
        <v>29</v>
      </c>
      <c r="T784" s="29">
        <v>2</v>
      </c>
      <c r="U784" s="29"/>
      <c r="V784" s="29"/>
      <c r="W784" s="29"/>
      <c r="X784" s="29"/>
      <c r="Y784" s="29"/>
      <c r="Z784" s="29"/>
      <c r="AA784" s="29"/>
      <c r="AB784" s="29"/>
      <c r="AC784" s="30"/>
      <c r="AD784" s="31"/>
      <c r="AE784" s="31"/>
      <c r="AF784" s="31"/>
      <c r="AG784" s="31"/>
      <c r="AH784" s="31"/>
      <c r="AI784" s="32"/>
    </row>
    <row r="785" spans="1:35" x14ac:dyDescent="0.25">
      <c r="A785" s="27"/>
      <c r="B785" s="28"/>
      <c r="C785" s="29"/>
      <c r="D785" s="30"/>
      <c r="E785" s="28"/>
      <c r="F785" s="29"/>
      <c r="G785" s="29"/>
      <c r="H785" s="29"/>
      <c r="I785" s="29"/>
      <c r="J785" s="29"/>
      <c r="K785" s="29"/>
      <c r="L785" s="29"/>
      <c r="M785" s="29"/>
      <c r="N785" s="30"/>
      <c r="O785" s="28"/>
      <c r="P785" s="29"/>
      <c r="Q785" s="29" t="s">
        <v>21</v>
      </c>
      <c r="R785" s="29"/>
      <c r="S785" s="29" t="s">
        <v>29</v>
      </c>
      <c r="T785" s="29">
        <v>2.7</v>
      </c>
      <c r="U785" s="29"/>
      <c r="V785" s="29"/>
      <c r="W785" s="29"/>
      <c r="X785" s="29"/>
      <c r="Y785" s="29"/>
      <c r="Z785" s="29"/>
      <c r="AA785" s="29"/>
      <c r="AB785" s="29"/>
      <c r="AC785" s="30"/>
      <c r="AD785" s="31"/>
      <c r="AE785" s="31"/>
      <c r="AF785" s="31"/>
      <c r="AG785" s="31"/>
      <c r="AH785" s="31"/>
      <c r="AI785" s="32"/>
    </row>
    <row r="786" spans="1:35" x14ac:dyDescent="0.25">
      <c r="A786" s="27"/>
      <c r="B786" s="28"/>
      <c r="C786" s="29"/>
      <c r="D786" s="30"/>
      <c r="E786" s="28"/>
      <c r="F786" s="29"/>
      <c r="G786" s="29"/>
      <c r="H786" s="29"/>
      <c r="I786" s="29"/>
      <c r="J786" s="29"/>
      <c r="K786" s="29"/>
      <c r="L786" s="29"/>
      <c r="M786" s="29"/>
      <c r="N786" s="30"/>
      <c r="O786" s="28"/>
      <c r="P786" s="29"/>
      <c r="Q786" s="29" t="s">
        <v>22</v>
      </c>
      <c r="R786" s="29"/>
      <c r="S786" s="29" t="s">
        <v>29</v>
      </c>
      <c r="T786" s="29">
        <v>0.15</v>
      </c>
      <c r="U786" s="29"/>
      <c r="V786" s="29"/>
      <c r="W786" s="29"/>
      <c r="X786" s="29"/>
      <c r="Y786" s="29"/>
      <c r="Z786" s="29"/>
      <c r="AA786" s="29"/>
      <c r="AB786" s="29"/>
      <c r="AC786" s="30"/>
      <c r="AD786" s="31"/>
      <c r="AE786" s="31"/>
      <c r="AF786" s="31"/>
      <c r="AG786" s="31"/>
      <c r="AH786" s="31"/>
      <c r="AI786" s="32"/>
    </row>
    <row r="787" spans="1:35" x14ac:dyDescent="0.25">
      <c r="A787" s="27"/>
      <c r="B787" s="28"/>
      <c r="C787" s="29"/>
      <c r="D787" s="30"/>
      <c r="E787" s="28"/>
      <c r="F787" s="29"/>
      <c r="G787" s="29"/>
      <c r="H787" s="29"/>
      <c r="I787" s="29"/>
      <c r="J787" s="29"/>
      <c r="K787" s="29"/>
      <c r="L787" s="29"/>
      <c r="M787" s="29"/>
      <c r="N787" s="30"/>
      <c r="O787" s="28"/>
      <c r="P787" s="29"/>
      <c r="Q787" s="29" t="s">
        <v>209</v>
      </c>
      <c r="R787" s="29"/>
      <c r="S787" s="29" t="s">
        <v>29</v>
      </c>
      <c r="T787" s="29">
        <v>0.2</v>
      </c>
      <c r="U787" s="29"/>
      <c r="V787" s="29"/>
      <c r="W787" s="29"/>
      <c r="X787" s="29"/>
      <c r="Y787" s="29"/>
      <c r="Z787" s="29"/>
      <c r="AA787" s="29"/>
      <c r="AB787" s="29"/>
      <c r="AC787" s="30"/>
      <c r="AD787" s="31"/>
      <c r="AE787" s="31"/>
      <c r="AF787" s="31"/>
      <c r="AG787" s="31"/>
      <c r="AH787" s="31"/>
      <c r="AI787" s="32"/>
    </row>
    <row r="788" spans="1:35" x14ac:dyDescent="0.25">
      <c r="A788" s="27"/>
      <c r="B788" s="28"/>
      <c r="C788" s="29"/>
      <c r="D788" s="30"/>
      <c r="E788" s="28"/>
      <c r="F788" s="29"/>
      <c r="G788" s="29"/>
      <c r="H788" s="29"/>
      <c r="I788" s="29"/>
      <c r="J788" s="29"/>
      <c r="K788" s="29"/>
      <c r="L788" s="29"/>
      <c r="M788" s="29"/>
      <c r="N788" s="30"/>
      <c r="O788" s="28"/>
      <c r="P788" s="29"/>
      <c r="Q788" s="29" t="s">
        <v>210</v>
      </c>
      <c r="R788" s="29"/>
      <c r="S788" s="29" t="s">
        <v>29</v>
      </c>
      <c r="T788" s="29">
        <f>T784*T785*T786*T787</f>
        <v>0.16200000000000003</v>
      </c>
      <c r="U788" s="29"/>
      <c r="V788" s="29"/>
      <c r="W788" s="29"/>
      <c r="X788" s="29"/>
      <c r="Y788" s="29"/>
      <c r="Z788" s="29"/>
      <c r="AA788" s="29"/>
      <c r="AB788" s="29"/>
      <c r="AC788" s="30"/>
      <c r="AD788" s="31"/>
      <c r="AE788" s="31"/>
      <c r="AF788" s="31"/>
      <c r="AG788" s="31"/>
      <c r="AH788" s="31"/>
      <c r="AI788" s="32"/>
    </row>
    <row r="789" spans="1:35" x14ac:dyDescent="0.25">
      <c r="A789" s="27"/>
      <c r="B789" s="28"/>
      <c r="C789" s="29"/>
      <c r="D789" s="30"/>
      <c r="E789" s="28"/>
      <c r="F789" s="29"/>
      <c r="G789" s="29"/>
      <c r="H789" s="29"/>
      <c r="I789" s="29"/>
      <c r="J789" s="29"/>
      <c r="K789" s="29"/>
      <c r="L789" s="29"/>
      <c r="M789" s="29"/>
      <c r="N789" s="30"/>
      <c r="O789" s="28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30"/>
      <c r="AD789" s="31"/>
      <c r="AE789" s="31"/>
      <c r="AF789" s="31"/>
      <c r="AG789" s="31"/>
      <c r="AH789" s="31"/>
      <c r="AI789" s="32"/>
    </row>
    <row r="790" spans="1:35" x14ac:dyDescent="0.25">
      <c r="A790" s="27"/>
      <c r="B790" s="28"/>
      <c r="C790" s="29"/>
      <c r="D790" s="30"/>
      <c r="E790" s="28"/>
      <c r="F790" s="29"/>
      <c r="G790" s="29"/>
      <c r="H790" s="29"/>
      <c r="I790" s="29"/>
      <c r="J790" s="29"/>
      <c r="K790" s="29"/>
      <c r="L790" s="29"/>
      <c r="M790" s="29"/>
      <c r="N790" s="30"/>
      <c r="O790" s="28">
        <v>9</v>
      </c>
      <c r="P790" s="29" t="s">
        <v>317</v>
      </c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30"/>
      <c r="AD790" s="31"/>
      <c r="AE790" s="31"/>
      <c r="AF790" s="357">
        <f>T795</f>
        <v>0.20249999999999999</v>
      </c>
      <c r="AG790" s="31"/>
      <c r="AH790" s="31"/>
      <c r="AI790" s="32"/>
    </row>
    <row r="791" spans="1:35" x14ac:dyDescent="0.25">
      <c r="A791" s="27"/>
      <c r="B791" s="28"/>
      <c r="C791" s="29"/>
      <c r="D791" s="30"/>
      <c r="E791" s="28"/>
      <c r="F791" s="29"/>
      <c r="G791" s="29"/>
      <c r="H791" s="29"/>
      <c r="I791" s="29"/>
      <c r="J791" s="29"/>
      <c r="K791" s="29"/>
      <c r="L791" s="29"/>
      <c r="M791" s="29"/>
      <c r="N791" s="30"/>
      <c r="O791" s="28"/>
      <c r="P791" s="29"/>
      <c r="Q791" s="29" t="s">
        <v>208</v>
      </c>
      <c r="R791" s="29"/>
      <c r="S791" s="29" t="s">
        <v>29</v>
      </c>
      <c r="T791" s="29">
        <v>6</v>
      </c>
      <c r="U791" s="29"/>
      <c r="V791" s="29"/>
      <c r="W791" s="29"/>
      <c r="X791" s="29"/>
      <c r="Y791" s="29"/>
      <c r="Z791" s="29"/>
      <c r="AA791" s="29"/>
      <c r="AB791" s="29"/>
      <c r="AC791" s="30"/>
      <c r="AD791" s="31"/>
      <c r="AE791" s="31"/>
      <c r="AF791" s="31"/>
      <c r="AG791" s="31"/>
      <c r="AH791" s="31"/>
      <c r="AI791" s="32"/>
    </row>
    <row r="792" spans="1:35" x14ac:dyDescent="0.25">
      <c r="A792" s="27"/>
      <c r="B792" s="28"/>
      <c r="C792" s="29"/>
      <c r="D792" s="30"/>
      <c r="E792" s="28"/>
      <c r="F792" s="29"/>
      <c r="G792" s="29"/>
      <c r="H792" s="29"/>
      <c r="I792" s="29"/>
      <c r="J792" s="29"/>
      <c r="K792" s="29"/>
      <c r="L792" s="29"/>
      <c r="M792" s="29"/>
      <c r="N792" s="30"/>
      <c r="O792" s="28"/>
      <c r="P792" s="29"/>
      <c r="Q792" s="29" t="s">
        <v>21</v>
      </c>
      <c r="R792" s="29"/>
      <c r="S792" s="29" t="s">
        <v>29</v>
      </c>
      <c r="T792" s="29">
        <v>1.5</v>
      </c>
      <c r="U792" s="29"/>
      <c r="V792" s="29"/>
      <c r="W792" s="29"/>
      <c r="X792" s="29"/>
      <c r="Y792" s="29"/>
      <c r="Z792" s="29"/>
      <c r="AA792" s="29"/>
      <c r="AB792" s="29"/>
      <c r="AC792" s="30"/>
      <c r="AD792" s="31"/>
      <c r="AE792" s="31"/>
      <c r="AF792" s="31"/>
      <c r="AG792" s="31"/>
      <c r="AH792" s="31"/>
      <c r="AI792" s="32"/>
    </row>
    <row r="793" spans="1:35" x14ac:dyDescent="0.25">
      <c r="A793" s="27"/>
      <c r="B793" s="28"/>
      <c r="C793" s="29"/>
      <c r="D793" s="30"/>
      <c r="E793" s="28"/>
      <c r="F793" s="29"/>
      <c r="G793" s="29"/>
      <c r="H793" s="29"/>
      <c r="I793" s="29"/>
      <c r="J793" s="29"/>
      <c r="K793" s="29"/>
      <c r="L793" s="29"/>
      <c r="M793" s="29"/>
      <c r="N793" s="30"/>
      <c r="O793" s="28"/>
      <c r="P793" s="29"/>
      <c r="Q793" s="29" t="s">
        <v>22</v>
      </c>
      <c r="R793" s="29"/>
      <c r="S793" s="29" t="s">
        <v>29</v>
      </c>
      <c r="T793" s="29">
        <v>0.15</v>
      </c>
      <c r="U793" s="29"/>
      <c r="V793" s="29"/>
      <c r="W793" s="29"/>
      <c r="X793" s="29"/>
      <c r="Y793" s="29"/>
      <c r="Z793" s="29"/>
      <c r="AA793" s="29"/>
      <c r="AB793" s="29"/>
      <c r="AC793" s="30"/>
      <c r="AD793" s="31"/>
      <c r="AE793" s="31"/>
      <c r="AF793" s="31"/>
      <c r="AG793" s="31"/>
      <c r="AH793" s="31"/>
      <c r="AI793" s="32"/>
    </row>
    <row r="794" spans="1:35" x14ac:dyDescent="0.25">
      <c r="A794" s="27"/>
      <c r="B794" s="28"/>
      <c r="C794" s="29"/>
      <c r="D794" s="30"/>
      <c r="E794" s="28"/>
      <c r="F794" s="29"/>
      <c r="G794" s="29"/>
      <c r="H794" s="29"/>
      <c r="I794" s="29"/>
      <c r="J794" s="29"/>
      <c r="K794" s="29"/>
      <c r="L794" s="29"/>
      <c r="M794" s="29"/>
      <c r="N794" s="30"/>
      <c r="O794" s="28"/>
      <c r="P794" s="29"/>
      <c r="Q794" s="29" t="s">
        <v>209</v>
      </c>
      <c r="R794" s="29"/>
      <c r="S794" s="29" t="s">
        <v>29</v>
      </c>
      <c r="T794" s="29">
        <v>0.15</v>
      </c>
      <c r="U794" s="29"/>
      <c r="V794" s="29"/>
      <c r="W794" s="29"/>
      <c r="X794" s="29"/>
      <c r="Y794" s="29"/>
      <c r="Z794" s="29"/>
      <c r="AA794" s="29"/>
      <c r="AB794" s="29"/>
      <c r="AC794" s="30"/>
      <c r="AD794" s="31"/>
      <c r="AE794" s="31"/>
      <c r="AF794" s="31"/>
      <c r="AG794" s="31"/>
      <c r="AH794" s="31"/>
      <c r="AI794" s="32"/>
    </row>
    <row r="795" spans="1:35" x14ac:dyDescent="0.25">
      <c r="A795" s="27"/>
      <c r="B795" s="28"/>
      <c r="C795" s="29"/>
      <c r="D795" s="30"/>
      <c r="E795" s="28"/>
      <c r="F795" s="29"/>
      <c r="G795" s="29"/>
      <c r="H795" s="29"/>
      <c r="I795" s="29"/>
      <c r="J795" s="29"/>
      <c r="K795" s="29"/>
      <c r="L795" s="29"/>
      <c r="M795" s="29"/>
      <c r="N795" s="30"/>
      <c r="O795" s="28"/>
      <c r="P795" s="29"/>
      <c r="Q795" s="29" t="s">
        <v>210</v>
      </c>
      <c r="R795" s="29"/>
      <c r="S795" s="29" t="s">
        <v>29</v>
      </c>
      <c r="T795" s="29">
        <f>T791*T792*T793*T794</f>
        <v>0.20249999999999999</v>
      </c>
      <c r="U795" s="29"/>
      <c r="V795" s="29"/>
      <c r="W795" s="29"/>
      <c r="X795" s="29"/>
      <c r="Y795" s="29"/>
      <c r="Z795" s="29"/>
      <c r="AA795" s="29"/>
      <c r="AB795" s="29"/>
      <c r="AC795" s="30"/>
      <c r="AD795" s="31"/>
      <c r="AE795" s="31"/>
      <c r="AF795" s="31"/>
      <c r="AG795" s="31"/>
      <c r="AH795" s="31"/>
      <c r="AI795" s="32"/>
    </row>
    <row r="796" spans="1:35" x14ac:dyDescent="0.25">
      <c r="A796" s="27"/>
      <c r="B796" s="28"/>
      <c r="C796" s="29"/>
      <c r="D796" s="30"/>
      <c r="E796" s="28"/>
      <c r="F796" s="29"/>
      <c r="G796" s="29"/>
      <c r="H796" s="29"/>
      <c r="I796" s="29"/>
      <c r="J796" s="29"/>
      <c r="K796" s="29"/>
      <c r="L796" s="29"/>
      <c r="M796" s="29"/>
      <c r="N796" s="30"/>
      <c r="O796" s="28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30"/>
      <c r="AD796" s="31"/>
      <c r="AE796" s="31"/>
      <c r="AF796" s="31"/>
      <c r="AG796" s="31"/>
      <c r="AH796" s="31"/>
      <c r="AI796" s="32"/>
    </row>
    <row r="797" spans="1:35" x14ac:dyDescent="0.25">
      <c r="A797" s="27"/>
      <c r="B797" s="28"/>
      <c r="C797" s="29"/>
      <c r="D797" s="30"/>
      <c r="E797" s="28"/>
      <c r="F797" s="29"/>
      <c r="G797" s="29"/>
      <c r="H797" s="29"/>
      <c r="I797" s="29"/>
      <c r="J797" s="29"/>
      <c r="K797" s="29"/>
      <c r="L797" s="29"/>
      <c r="M797" s="29"/>
      <c r="N797" s="30"/>
      <c r="O797" s="28">
        <v>10</v>
      </c>
      <c r="P797" s="29" t="s">
        <v>318</v>
      </c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30"/>
      <c r="AD797" s="31"/>
      <c r="AE797" s="31"/>
      <c r="AF797" s="39">
        <f>T802</f>
        <v>0.11199999999999999</v>
      </c>
      <c r="AG797" s="31"/>
      <c r="AH797" s="31"/>
      <c r="AI797" s="32"/>
    </row>
    <row r="798" spans="1:35" x14ac:dyDescent="0.25">
      <c r="A798" s="27"/>
      <c r="B798" s="28"/>
      <c r="C798" s="29"/>
      <c r="D798" s="30"/>
      <c r="E798" s="28"/>
      <c r="F798" s="29"/>
      <c r="G798" s="29"/>
      <c r="H798" s="29"/>
      <c r="I798" s="29"/>
      <c r="J798" s="29"/>
      <c r="K798" s="29"/>
      <c r="L798" s="29"/>
      <c r="M798" s="29"/>
      <c r="N798" s="30"/>
      <c r="O798" s="28"/>
      <c r="P798" s="29"/>
      <c r="Q798" s="29" t="s">
        <v>208</v>
      </c>
      <c r="R798" s="29"/>
      <c r="S798" s="29" t="s">
        <v>29</v>
      </c>
      <c r="T798" s="29">
        <v>4</v>
      </c>
      <c r="U798" s="29"/>
      <c r="V798" s="29"/>
      <c r="W798" s="29"/>
      <c r="X798" s="29"/>
      <c r="Y798" s="29"/>
      <c r="Z798" s="29"/>
      <c r="AA798" s="29"/>
      <c r="AB798" s="29"/>
      <c r="AC798" s="30"/>
      <c r="AD798" s="31"/>
      <c r="AE798" s="31"/>
      <c r="AF798" s="31"/>
      <c r="AG798" s="31"/>
      <c r="AH798" s="31"/>
      <c r="AI798" s="32"/>
    </row>
    <row r="799" spans="1:35" x14ac:dyDescent="0.25">
      <c r="A799" s="27"/>
      <c r="B799" s="28"/>
      <c r="C799" s="29"/>
      <c r="D799" s="30"/>
      <c r="E799" s="28"/>
      <c r="F799" s="29"/>
      <c r="G799" s="29"/>
      <c r="H799" s="29"/>
      <c r="I799" s="29"/>
      <c r="J799" s="29"/>
      <c r="K799" s="29"/>
      <c r="L799" s="29"/>
      <c r="M799" s="29"/>
      <c r="N799" s="30"/>
      <c r="O799" s="28"/>
      <c r="P799" s="29"/>
      <c r="Q799" s="29" t="s">
        <v>21</v>
      </c>
      <c r="R799" s="29"/>
      <c r="S799" s="29" t="s">
        <v>29</v>
      </c>
      <c r="T799" s="29">
        <v>0.7</v>
      </c>
      <c r="U799" s="29"/>
      <c r="V799" s="29"/>
      <c r="W799" s="29"/>
      <c r="X799" s="29"/>
      <c r="Y799" s="29"/>
      <c r="Z799" s="29"/>
      <c r="AA799" s="29"/>
      <c r="AB799" s="29"/>
      <c r="AC799" s="30"/>
      <c r="AD799" s="31"/>
      <c r="AE799" s="31"/>
      <c r="AF799" s="31"/>
      <c r="AG799" s="31"/>
      <c r="AH799" s="31"/>
      <c r="AI799" s="32"/>
    </row>
    <row r="800" spans="1:35" x14ac:dyDescent="0.25">
      <c r="A800" s="27"/>
      <c r="B800" s="28"/>
      <c r="C800" s="29"/>
      <c r="D800" s="30"/>
      <c r="E800" s="28"/>
      <c r="F800" s="29"/>
      <c r="G800" s="29"/>
      <c r="H800" s="29"/>
      <c r="I800" s="29"/>
      <c r="J800" s="29"/>
      <c r="K800" s="29"/>
      <c r="L800" s="29"/>
      <c r="M800" s="29"/>
      <c r="N800" s="30"/>
      <c r="O800" s="28"/>
      <c r="P800" s="29"/>
      <c r="Q800" s="29" t="s">
        <v>22</v>
      </c>
      <c r="R800" s="29"/>
      <c r="S800" s="29" t="s">
        <v>29</v>
      </c>
      <c r="T800" s="29">
        <v>0.2</v>
      </c>
      <c r="U800" s="29"/>
      <c r="V800" s="29"/>
      <c r="W800" s="29"/>
      <c r="X800" s="29"/>
      <c r="Y800" s="29"/>
      <c r="Z800" s="29"/>
      <c r="AA800" s="29"/>
      <c r="AB800" s="29"/>
      <c r="AC800" s="30"/>
      <c r="AD800" s="31"/>
      <c r="AE800" s="31"/>
      <c r="AF800" s="31"/>
      <c r="AG800" s="31"/>
      <c r="AH800" s="31"/>
      <c r="AI800" s="32"/>
    </row>
    <row r="801" spans="1:35" x14ac:dyDescent="0.25">
      <c r="A801" s="27"/>
      <c r="B801" s="28"/>
      <c r="C801" s="29"/>
      <c r="D801" s="30"/>
      <c r="E801" s="28"/>
      <c r="F801" s="29"/>
      <c r="G801" s="29"/>
      <c r="H801" s="29"/>
      <c r="I801" s="29"/>
      <c r="J801" s="29"/>
      <c r="K801" s="29"/>
      <c r="L801" s="29"/>
      <c r="M801" s="29"/>
      <c r="N801" s="30"/>
      <c r="O801" s="28"/>
      <c r="P801" s="29"/>
      <c r="Q801" s="29" t="s">
        <v>209</v>
      </c>
      <c r="R801" s="29"/>
      <c r="S801" s="29" t="s">
        <v>29</v>
      </c>
      <c r="T801" s="29">
        <v>0.2</v>
      </c>
      <c r="U801" s="29"/>
      <c r="V801" s="29"/>
      <c r="W801" s="29"/>
      <c r="X801" s="29"/>
      <c r="Y801" s="29"/>
      <c r="Z801" s="29"/>
      <c r="AA801" s="29"/>
      <c r="AB801" s="29"/>
      <c r="AC801" s="30"/>
      <c r="AD801" s="31"/>
      <c r="AE801" s="31"/>
      <c r="AF801" s="31"/>
      <c r="AG801" s="31"/>
      <c r="AH801" s="31"/>
      <c r="AI801" s="32"/>
    </row>
    <row r="802" spans="1:35" x14ac:dyDescent="0.25">
      <c r="A802" s="27"/>
      <c r="B802" s="28"/>
      <c r="C802" s="29"/>
      <c r="D802" s="30"/>
      <c r="E802" s="28"/>
      <c r="F802" s="29"/>
      <c r="G802" s="29"/>
      <c r="H802" s="29"/>
      <c r="I802" s="29"/>
      <c r="J802" s="29"/>
      <c r="K802" s="29"/>
      <c r="L802" s="29"/>
      <c r="M802" s="29"/>
      <c r="N802" s="30"/>
      <c r="O802" s="28"/>
      <c r="P802" s="29"/>
      <c r="Q802" s="29" t="s">
        <v>210</v>
      </c>
      <c r="R802" s="29"/>
      <c r="S802" s="29" t="s">
        <v>29</v>
      </c>
      <c r="T802" s="29">
        <f>T798*T799*T800*T801</f>
        <v>0.11199999999999999</v>
      </c>
      <c r="U802" s="29"/>
      <c r="V802" s="29"/>
      <c r="W802" s="29"/>
      <c r="X802" s="29"/>
      <c r="Y802" s="29"/>
      <c r="Z802" s="29"/>
      <c r="AA802" s="29"/>
      <c r="AB802" s="29"/>
      <c r="AC802" s="30"/>
      <c r="AD802" s="31"/>
      <c r="AE802" s="31"/>
      <c r="AF802" s="31"/>
      <c r="AG802" s="31"/>
      <c r="AH802" s="31"/>
      <c r="AI802" s="32"/>
    </row>
    <row r="803" spans="1:35" x14ac:dyDescent="0.25">
      <c r="A803" s="27"/>
      <c r="B803" s="28"/>
      <c r="C803" s="29"/>
      <c r="D803" s="30"/>
      <c r="E803" s="28"/>
      <c r="F803" s="29"/>
      <c r="G803" s="29"/>
      <c r="H803" s="29"/>
      <c r="I803" s="29"/>
      <c r="J803" s="29"/>
      <c r="K803" s="29"/>
      <c r="L803" s="29"/>
      <c r="M803" s="29"/>
      <c r="N803" s="30"/>
      <c r="O803" s="28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30"/>
      <c r="AD803" s="31"/>
      <c r="AE803" s="31"/>
      <c r="AF803" s="31"/>
      <c r="AG803" s="31"/>
      <c r="AH803" s="31"/>
      <c r="AI803" s="32"/>
    </row>
    <row r="804" spans="1:35" x14ac:dyDescent="0.25">
      <c r="A804" s="27"/>
      <c r="B804" s="28"/>
      <c r="C804" s="29"/>
      <c r="D804" s="30"/>
      <c r="E804" s="28"/>
      <c r="F804" s="29"/>
      <c r="G804" s="29"/>
      <c r="H804" s="29"/>
      <c r="I804" s="29"/>
      <c r="J804" s="29"/>
      <c r="K804" s="29"/>
      <c r="L804" s="29"/>
      <c r="M804" s="29"/>
      <c r="N804" s="30"/>
      <c r="O804" s="28">
        <v>11</v>
      </c>
      <c r="P804" s="29" t="s">
        <v>1900</v>
      </c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30"/>
      <c r="AD804" s="31"/>
      <c r="AE804" s="31"/>
      <c r="AF804" s="357">
        <f>T809+T815+T821</f>
        <v>0.24975</v>
      </c>
      <c r="AG804" s="31"/>
      <c r="AH804" s="31"/>
      <c r="AI804" s="32"/>
    </row>
    <row r="805" spans="1:35" x14ac:dyDescent="0.25">
      <c r="A805" s="27"/>
      <c r="B805" s="28"/>
      <c r="C805" s="29"/>
      <c r="D805" s="30"/>
      <c r="E805" s="28"/>
      <c r="F805" s="29"/>
      <c r="G805" s="29"/>
      <c r="H805" s="29"/>
      <c r="I805" s="29"/>
      <c r="J805" s="29"/>
      <c r="K805" s="29"/>
      <c r="L805" s="29"/>
      <c r="M805" s="29"/>
      <c r="N805" s="30"/>
      <c r="O805" s="28"/>
      <c r="P805" s="29"/>
      <c r="Q805" s="29" t="s">
        <v>208</v>
      </c>
      <c r="R805" s="29"/>
      <c r="S805" s="29" t="s">
        <v>29</v>
      </c>
      <c r="T805" s="29">
        <v>2</v>
      </c>
      <c r="U805" s="29"/>
      <c r="V805" s="29"/>
      <c r="W805" s="29"/>
      <c r="X805" s="29"/>
      <c r="Y805" s="29"/>
      <c r="Z805" s="29"/>
      <c r="AA805" s="29"/>
      <c r="AB805" s="29"/>
      <c r="AC805" s="30"/>
      <c r="AD805" s="31"/>
      <c r="AE805" s="31"/>
      <c r="AF805" s="31"/>
      <c r="AG805" s="31"/>
      <c r="AH805" s="31"/>
      <c r="AI805" s="32"/>
    </row>
    <row r="806" spans="1:35" x14ac:dyDescent="0.25">
      <c r="A806" s="27"/>
      <c r="B806" s="28"/>
      <c r="C806" s="29"/>
      <c r="D806" s="30"/>
      <c r="E806" s="28"/>
      <c r="F806" s="29"/>
      <c r="G806" s="29"/>
      <c r="H806" s="29"/>
      <c r="I806" s="29"/>
      <c r="J806" s="29"/>
      <c r="K806" s="29"/>
      <c r="L806" s="29"/>
      <c r="M806" s="29"/>
      <c r="N806" s="30"/>
      <c r="O806" s="28"/>
      <c r="P806" s="29"/>
      <c r="Q806" s="29" t="s">
        <v>21</v>
      </c>
      <c r="R806" s="29"/>
      <c r="S806" s="29" t="s">
        <v>29</v>
      </c>
      <c r="T806" s="29">
        <v>2.7</v>
      </c>
      <c r="U806" s="29"/>
      <c r="V806" s="29"/>
      <c r="W806" s="29"/>
      <c r="X806" s="29"/>
      <c r="Y806" s="29"/>
      <c r="Z806" s="29"/>
      <c r="AA806" s="29"/>
      <c r="AB806" s="29"/>
      <c r="AC806" s="30"/>
      <c r="AD806" s="31"/>
      <c r="AE806" s="31"/>
      <c r="AF806" s="31"/>
      <c r="AG806" s="31"/>
      <c r="AH806" s="31"/>
      <c r="AI806" s="32"/>
    </row>
    <row r="807" spans="1:35" x14ac:dyDescent="0.25">
      <c r="A807" s="27"/>
      <c r="B807" s="28"/>
      <c r="C807" s="29"/>
      <c r="D807" s="30"/>
      <c r="E807" s="28"/>
      <c r="F807" s="29"/>
      <c r="G807" s="29"/>
      <c r="H807" s="29"/>
      <c r="I807" s="29"/>
      <c r="J807" s="29"/>
      <c r="K807" s="29"/>
      <c r="L807" s="29"/>
      <c r="M807" s="29"/>
      <c r="N807" s="30"/>
      <c r="O807" s="28"/>
      <c r="P807" s="29"/>
      <c r="Q807" s="29" t="s">
        <v>22</v>
      </c>
      <c r="R807" s="29"/>
      <c r="S807" s="29" t="s">
        <v>29</v>
      </c>
      <c r="T807" s="29">
        <v>0.15</v>
      </c>
      <c r="U807" s="29"/>
      <c r="V807" s="29"/>
      <c r="W807" s="29"/>
      <c r="X807" s="29"/>
      <c r="Y807" s="29"/>
      <c r="Z807" s="29"/>
      <c r="AA807" s="29"/>
      <c r="AB807" s="29"/>
      <c r="AC807" s="30"/>
      <c r="AD807" s="31"/>
      <c r="AE807" s="31"/>
      <c r="AF807" s="31"/>
      <c r="AG807" s="31"/>
      <c r="AH807" s="31"/>
      <c r="AI807" s="32"/>
    </row>
    <row r="808" spans="1:35" x14ac:dyDescent="0.25">
      <c r="A808" s="27"/>
      <c r="B808" s="28"/>
      <c r="C808" s="29"/>
      <c r="D808" s="30"/>
      <c r="E808" s="28"/>
      <c r="F808" s="29"/>
      <c r="G808" s="29"/>
      <c r="H808" s="29"/>
      <c r="I808" s="29"/>
      <c r="J808" s="29"/>
      <c r="K808" s="29"/>
      <c r="L808" s="29"/>
      <c r="M808" s="29"/>
      <c r="N808" s="30"/>
      <c r="O808" s="28"/>
      <c r="P808" s="29"/>
      <c r="Q808" s="29" t="s">
        <v>209</v>
      </c>
      <c r="R808" s="29"/>
      <c r="S808" s="29" t="s">
        <v>29</v>
      </c>
      <c r="T808" s="29">
        <v>0.15</v>
      </c>
      <c r="U808" s="29"/>
      <c r="V808" s="29"/>
      <c r="W808" s="29"/>
      <c r="X808" s="29"/>
      <c r="Y808" s="29"/>
      <c r="Z808" s="29"/>
      <c r="AA808" s="29"/>
      <c r="AB808" s="29"/>
      <c r="AC808" s="30"/>
      <c r="AD808" s="31"/>
      <c r="AE808" s="31"/>
      <c r="AF808" s="31"/>
      <c r="AG808" s="31"/>
      <c r="AH808" s="31"/>
      <c r="AI808" s="32"/>
    </row>
    <row r="809" spans="1:35" x14ac:dyDescent="0.25">
      <c r="A809" s="27"/>
      <c r="B809" s="28"/>
      <c r="C809" s="29"/>
      <c r="D809" s="30"/>
      <c r="E809" s="28"/>
      <c r="F809" s="29"/>
      <c r="G809" s="29"/>
      <c r="H809" s="29"/>
      <c r="I809" s="29"/>
      <c r="J809" s="29"/>
      <c r="K809" s="29"/>
      <c r="L809" s="29"/>
      <c r="M809" s="29"/>
      <c r="N809" s="30"/>
      <c r="O809" s="28"/>
      <c r="P809" s="29"/>
      <c r="Q809" s="29" t="s">
        <v>210</v>
      </c>
      <c r="R809" s="29"/>
      <c r="S809" s="29" t="s">
        <v>29</v>
      </c>
      <c r="T809" s="29">
        <f>T805*T806*T807*T808</f>
        <v>0.1215</v>
      </c>
      <c r="U809" s="29"/>
      <c r="V809" s="29"/>
      <c r="W809" s="29"/>
      <c r="X809" s="29"/>
      <c r="Y809" s="29"/>
      <c r="Z809" s="29"/>
      <c r="AA809" s="29"/>
      <c r="AB809" s="29"/>
      <c r="AC809" s="30"/>
      <c r="AD809" s="31"/>
      <c r="AE809" s="31"/>
      <c r="AF809" s="31"/>
      <c r="AG809" s="31"/>
      <c r="AH809" s="31"/>
      <c r="AI809" s="32"/>
    </row>
    <row r="810" spans="1:35" x14ac:dyDescent="0.25">
      <c r="A810" s="27"/>
      <c r="B810" s="28"/>
      <c r="C810" s="29"/>
      <c r="D810" s="30"/>
      <c r="E810" s="28"/>
      <c r="F810" s="29"/>
      <c r="G810" s="29"/>
      <c r="H810" s="29"/>
      <c r="I810" s="29"/>
      <c r="J810" s="29"/>
      <c r="K810" s="29"/>
      <c r="L810" s="29"/>
      <c r="M810" s="29"/>
      <c r="N810" s="30"/>
      <c r="O810" s="28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30"/>
      <c r="AD810" s="31"/>
      <c r="AE810" s="31"/>
      <c r="AF810" s="31"/>
      <c r="AG810" s="31"/>
      <c r="AH810" s="31"/>
      <c r="AI810" s="32"/>
    </row>
    <row r="811" spans="1:35" x14ac:dyDescent="0.25">
      <c r="A811" s="27"/>
      <c r="B811" s="28"/>
      <c r="C811" s="29"/>
      <c r="D811" s="30"/>
      <c r="E811" s="28"/>
      <c r="F811" s="29"/>
      <c r="G811" s="29"/>
      <c r="H811" s="29"/>
      <c r="I811" s="29"/>
      <c r="J811" s="29"/>
      <c r="K811" s="29"/>
      <c r="L811" s="29"/>
      <c r="M811" s="29"/>
      <c r="N811" s="30"/>
      <c r="O811" s="28"/>
      <c r="P811" s="29"/>
      <c r="Q811" s="29" t="s">
        <v>208</v>
      </c>
      <c r="R811" s="29"/>
      <c r="S811" s="29" t="s">
        <v>29</v>
      </c>
      <c r="T811" s="29">
        <v>3</v>
      </c>
      <c r="U811" s="29"/>
      <c r="V811" s="29"/>
      <c r="W811" s="29"/>
      <c r="X811" s="29"/>
      <c r="Y811" s="29"/>
      <c r="Z811" s="29"/>
      <c r="AA811" s="29"/>
      <c r="AB811" s="29"/>
      <c r="AC811" s="30"/>
      <c r="AD811" s="31"/>
      <c r="AE811" s="31"/>
      <c r="AF811" s="31"/>
      <c r="AG811" s="31"/>
      <c r="AH811" s="31"/>
      <c r="AI811" s="32"/>
    </row>
    <row r="812" spans="1:35" x14ac:dyDescent="0.25">
      <c r="A812" s="27"/>
      <c r="B812" s="28"/>
      <c r="C812" s="29"/>
      <c r="D812" s="30"/>
      <c r="E812" s="28"/>
      <c r="F812" s="29"/>
      <c r="G812" s="29"/>
      <c r="H812" s="29"/>
      <c r="I812" s="29"/>
      <c r="J812" s="29"/>
      <c r="K812" s="29"/>
      <c r="L812" s="29"/>
      <c r="M812" s="29"/>
      <c r="N812" s="30"/>
      <c r="O812" s="28"/>
      <c r="P812" s="29"/>
      <c r="Q812" s="29" t="s">
        <v>21</v>
      </c>
      <c r="R812" s="29"/>
      <c r="S812" s="29" t="s">
        <v>29</v>
      </c>
      <c r="T812" s="29">
        <v>1.35</v>
      </c>
      <c r="U812" s="29"/>
      <c r="V812" s="29"/>
      <c r="W812" s="29"/>
      <c r="X812" s="29"/>
      <c r="Y812" s="29"/>
      <c r="Z812" s="29"/>
      <c r="AA812" s="29"/>
      <c r="AB812" s="29"/>
      <c r="AC812" s="30"/>
      <c r="AD812" s="31"/>
      <c r="AE812" s="31"/>
      <c r="AF812" s="31"/>
      <c r="AG812" s="31"/>
      <c r="AH812" s="31"/>
      <c r="AI812" s="32"/>
    </row>
    <row r="813" spans="1:35" x14ac:dyDescent="0.25">
      <c r="A813" s="27"/>
      <c r="B813" s="28"/>
      <c r="C813" s="29"/>
      <c r="D813" s="30"/>
      <c r="E813" s="28"/>
      <c r="F813" s="29"/>
      <c r="G813" s="29"/>
      <c r="H813" s="29"/>
      <c r="I813" s="29"/>
      <c r="J813" s="29"/>
      <c r="K813" s="29"/>
      <c r="L813" s="29"/>
      <c r="M813" s="29"/>
      <c r="N813" s="30"/>
      <c r="O813" s="28"/>
      <c r="P813" s="29"/>
      <c r="Q813" s="29" t="s">
        <v>22</v>
      </c>
      <c r="R813" s="29"/>
      <c r="S813" s="29" t="s">
        <v>29</v>
      </c>
      <c r="T813" s="29">
        <v>0.15</v>
      </c>
      <c r="U813" s="29"/>
      <c r="V813" s="29"/>
      <c r="W813" s="29"/>
      <c r="X813" s="29"/>
      <c r="Y813" s="29"/>
      <c r="Z813" s="29"/>
      <c r="AA813" s="29"/>
      <c r="AB813" s="29"/>
      <c r="AC813" s="30"/>
      <c r="AD813" s="31"/>
      <c r="AE813" s="31"/>
      <c r="AF813" s="31"/>
      <c r="AG813" s="31"/>
      <c r="AH813" s="31"/>
      <c r="AI813" s="32"/>
    </row>
    <row r="814" spans="1:35" x14ac:dyDescent="0.25">
      <c r="A814" s="27"/>
      <c r="B814" s="28"/>
      <c r="C814" s="29"/>
      <c r="D814" s="30"/>
      <c r="E814" s="28"/>
      <c r="F814" s="29"/>
      <c r="G814" s="29"/>
      <c r="H814" s="29"/>
      <c r="I814" s="29"/>
      <c r="J814" s="29"/>
      <c r="K814" s="29"/>
      <c r="L814" s="29"/>
      <c r="M814" s="29"/>
      <c r="N814" s="30"/>
      <c r="O814" s="28"/>
      <c r="P814" s="29"/>
      <c r="Q814" s="29" t="s">
        <v>209</v>
      </c>
      <c r="R814" s="29"/>
      <c r="S814" s="29" t="s">
        <v>29</v>
      </c>
      <c r="T814" s="29">
        <v>0.15</v>
      </c>
      <c r="U814" s="29"/>
      <c r="V814" s="29"/>
      <c r="W814" s="29"/>
      <c r="X814" s="29"/>
      <c r="Y814" s="29"/>
      <c r="Z814" s="29"/>
      <c r="AA814" s="29"/>
      <c r="AB814" s="29"/>
      <c r="AC814" s="30"/>
      <c r="AD814" s="31"/>
      <c r="AE814" s="31"/>
      <c r="AF814" s="31"/>
      <c r="AG814" s="31"/>
      <c r="AH814" s="31"/>
      <c r="AI814" s="32"/>
    </row>
    <row r="815" spans="1:35" x14ac:dyDescent="0.25">
      <c r="A815" s="27"/>
      <c r="B815" s="28"/>
      <c r="C815" s="29"/>
      <c r="D815" s="30"/>
      <c r="E815" s="28"/>
      <c r="F815" s="29"/>
      <c r="G815" s="29"/>
      <c r="H815" s="29"/>
      <c r="I815" s="29"/>
      <c r="J815" s="29"/>
      <c r="K815" s="29"/>
      <c r="L815" s="29"/>
      <c r="M815" s="29"/>
      <c r="N815" s="30"/>
      <c r="O815" s="28"/>
      <c r="P815" s="29"/>
      <c r="Q815" s="29" t="s">
        <v>210</v>
      </c>
      <c r="R815" s="29"/>
      <c r="S815" s="29" t="s">
        <v>29</v>
      </c>
      <c r="T815" s="29">
        <f>T811*T812*T813*T814</f>
        <v>9.1124999999999998E-2</v>
      </c>
      <c r="U815" s="29"/>
      <c r="V815" s="29"/>
      <c r="W815" s="29"/>
      <c r="X815" s="29"/>
      <c r="Y815" s="29"/>
      <c r="Z815" s="29"/>
      <c r="AA815" s="29"/>
      <c r="AB815" s="29"/>
      <c r="AC815" s="30"/>
      <c r="AD815" s="31"/>
      <c r="AE815" s="31"/>
      <c r="AF815" s="31"/>
      <c r="AG815" s="31"/>
      <c r="AH815" s="31"/>
      <c r="AI815" s="32"/>
    </row>
    <row r="816" spans="1:35" x14ac:dyDescent="0.25">
      <c r="A816" s="27"/>
      <c r="B816" s="28"/>
      <c r="C816" s="29"/>
      <c r="D816" s="30"/>
      <c r="E816" s="28"/>
      <c r="F816" s="29"/>
      <c r="G816" s="29"/>
      <c r="H816" s="29"/>
      <c r="I816" s="29"/>
      <c r="J816" s="29"/>
      <c r="K816" s="29"/>
      <c r="L816" s="29"/>
      <c r="M816" s="29"/>
      <c r="N816" s="30"/>
      <c r="O816" s="28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30"/>
      <c r="AD816" s="31"/>
      <c r="AE816" s="31"/>
      <c r="AF816" s="31"/>
      <c r="AG816" s="31"/>
      <c r="AH816" s="31"/>
      <c r="AI816" s="32"/>
    </row>
    <row r="817" spans="1:35" x14ac:dyDescent="0.25">
      <c r="A817" s="27"/>
      <c r="B817" s="28"/>
      <c r="C817" s="29"/>
      <c r="D817" s="30"/>
      <c r="E817" s="28"/>
      <c r="F817" s="29"/>
      <c r="G817" s="29"/>
      <c r="H817" s="29"/>
      <c r="I817" s="29"/>
      <c r="J817" s="29"/>
      <c r="K817" s="29"/>
      <c r="L817" s="29"/>
      <c r="M817" s="29"/>
      <c r="N817" s="30"/>
      <c r="O817" s="28"/>
      <c r="P817" s="29"/>
      <c r="Q817" s="29" t="s">
        <v>208</v>
      </c>
      <c r="R817" s="29"/>
      <c r="S817" s="29" t="s">
        <v>29</v>
      </c>
      <c r="T817" s="29">
        <v>3</v>
      </c>
      <c r="U817" s="29"/>
      <c r="V817" s="29"/>
      <c r="W817" s="29"/>
      <c r="X817" s="29"/>
      <c r="Y817" s="29"/>
      <c r="Z817" s="29"/>
      <c r="AA817" s="29"/>
      <c r="AB817" s="29"/>
      <c r="AC817" s="30"/>
      <c r="AD817" s="31"/>
      <c r="AE817" s="31"/>
      <c r="AF817" s="31"/>
      <c r="AG817" s="31"/>
      <c r="AH817" s="31"/>
      <c r="AI817" s="32"/>
    </row>
    <row r="818" spans="1:35" x14ac:dyDescent="0.25">
      <c r="A818" s="27"/>
      <c r="B818" s="28"/>
      <c r="C818" s="29"/>
      <c r="D818" s="30"/>
      <c r="E818" s="28"/>
      <c r="F818" s="29"/>
      <c r="G818" s="29"/>
      <c r="H818" s="29"/>
      <c r="I818" s="29"/>
      <c r="J818" s="29"/>
      <c r="K818" s="29"/>
      <c r="L818" s="29"/>
      <c r="M818" s="29"/>
      <c r="N818" s="30"/>
      <c r="O818" s="28"/>
      <c r="P818" s="29"/>
      <c r="Q818" s="29" t="s">
        <v>21</v>
      </c>
      <c r="R818" s="29"/>
      <c r="S818" s="29" t="s">
        <v>29</v>
      </c>
      <c r="T818" s="29">
        <v>0.55000000000000004</v>
      </c>
      <c r="U818" s="29"/>
      <c r="V818" s="29"/>
      <c r="W818" s="29"/>
      <c r="X818" s="29"/>
      <c r="Y818" s="29"/>
      <c r="Z818" s="29"/>
      <c r="AA818" s="29"/>
      <c r="AB818" s="29"/>
      <c r="AC818" s="30"/>
      <c r="AD818" s="31"/>
      <c r="AE818" s="31"/>
      <c r="AF818" s="31"/>
      <c r="AG818" s="31"/>
      <c r="AH818" s="31"/>
      <c r="AI818" s="32"/>
    </row>
    <row r="819" spans="1:35" x14ac:dyDescent="0.25">
      <c r="A819" s="27"/>
      <c r="B819" s="28"/>
      <c r="C819" s="29"/>
      <c r="D819" s="30"/>
      <c r="E819" s="28"/>
      <c r="F819" s="29"/>
      <c r="G819" s="29"/>
      <c r="H819" s="29"/>
      <c r="I819" s="29"/>
      <c r="J819" s="29"/>
      <c r="K819" s="29"/>
      <c r="L819" s="29"/>
      <c r="M819" s="29"/>
      <c r="N819" s="30"/>
      <c r="O819" s="28"/>
      <c r="P819" s="29"/>
      <c r="Q819" s="29" t="s">
        <v>22</v>
      </c>
      <c r="R819" s="29"/>
      <c r="S819" s="29" t="s">
        <v>29</v>
      </c>
      <c r="T819" s="29">
        <v>0.15</v>
      </c>
      <c r="U819" s="29"/>
      <c r="V819" s="29"/>
      <c r="W819" s="29"/>
      <c r="X819" s="29"/>
      <c r="Y819" s="29"/>
      <c r="Z819" s="29"/>
      <c r="AA819" s="29"/>
      <c r="AB819" s="29"/>
      <c r="AC819" s="30"/>
      <c r="AD819" s="31"/>
      <c r="AE819" s="31"/>
      <c r="AF819" s="31"/>
      <c r="AG819" s="31"/>
      <c r="AH819" s="31"/>
      <c r="AI819" s="32"/>
    </row>
    <row r="820" spans="1:35" x14ac:dyDescent="0.25">
      <c r="A820" s="27"/>
      <c r="B820" s="28"/>
      <c r="C820" s="29"/>
      <c r="D820" s="30"/>
      <c r="E820" s="28"/>
      <c r="F820" s="29"/>
      <c r="G820" s="29"/>
      <c r="H820" s="29"/>
      <c r="I820" s="29"/>
      <c r="J820" s="29"/>
      <c r="K820" s="29"/>
      <c r="L820" s="29"/>
      <c r="M820" s="29"/>
      <c r="N820" s="30"/>
      <c r="O820" s="28"/>
      <c r="P820" s="29"/>
      <c r="Q820" s="29" t="s">
        <v>209</v>
      </c>
      <c r="R820" s="29"/>
      <c r="S820" s="29" t="s">
        <v>29</v>
      </c>
      <c r="T820" s="29">
        <v>0.15</v>
      </c>
      <c r="U820" s="29"/>
      <c r="V820" s="29"/>
      <c r="W820" s="29"/>
      <c r="X820" s="29"/>
      <c r="Y820" s="29"/>
      <c r="Z820" s="29"/>
      <c r="AA820" s="29"/>
      <c r="AB820" s="29"/>
      <c r="AC820" s="30"/>
      <c r="AD820" s="31"/>
      <c r="AE820" s="31"/>
      <c r="AF820" s="31"/>
      <c r="AG820" s="31"/>
      <c r="AH820" s="31"/>
      <c r="AI820" s="32"/>
    </row>
    <row r="821" spans="1:35" ht="15.75" thickBot="1" x14ac:dyDescent="0.3">
      <c r="A821" s="5"/>
      <c r="B821" s="17"/>
      <c r="C821" s="18"/>
      <c r="D821" s="19"/>
      <c r="E821" s="17"/>
      <c r="F821" s="18"/>
      <c r="G821" s="18"/>
      <c r="H821" s="18"/>
      <c r="I821" s="18"/>
      <c r="J821" s="18"/>
      <c r="K821" s="18"/>
      <c r="L821" s="18"/>
      <c r="M821" s="18"/>
      <c r="N821" s="19"/>
      <c r="O821" s="17"/>
      <c r="P821" s="18"/>
      <c r="Q821" s="18" t="s">
        <v>210</v>
      </c>
      <c r="R821" s="18"/>
      <c r="S821" s="18" t="s">
        <v>29</v>
      </c>
      <c r="T821" s="18">
        <f>T817*T818*T819*T820</f>
        <v>3.7124999999999998E-2</v>
      </c>
      <c r="U821" s="18"/>
      <c r="V821" s="18"/>
      <c r="W821" s="18"/>
      <c r="X821" s="18"/>
      <c r="Y821" s="18"/>
      <c r="Z821" s="18"/>
      <c r="AA821" s="18"/>
      <c r="AB821" s="18"/>
      <c r="AC821" s="19"/>
      <c r="AD821" s="6"/>
      <c r="AE821" s="6"/>
      <c r="AF821" s="6"/>
      <c r="AG821" s="6"/>
      <c r="AH821" s="6"/>
      <c r="AI821" s="7"/>
    </row>
    <row r="822" spans="1:35" ht="15.75" thickTop="1" x14ac:dyDescent="0.25">
      <c r="A822" s="597"/>
      <c r="B822" s="272"/>
      <c r="C822" s="598"/>
      <c r="D822" s="273"/>
      <c r="E822" s="272"/>
      <c r="F822" s="598"/>
      <c r="G822" s="598"/>
      <c r="H822" s="598"/>
      <c r="I822" s="598"/>
      <c r="J822" s="598"/>
      <c r="K822" s="598"/>
      <c r="L822" s="598"/>
      <c r="M822" s="598"/>
      <c r="N822" s="273"/>
      <c r="O822" s="272"/>
      <c r="P822" s="598"/>
      <c r="Q822" s="598"/>
      <c r="R822" s="598"/>
      <c r="S822" s="598"/>
      <c r="T822" s="598"/>
      <c r="U822" s="598"/>
      <c r="V822" s="598"/>
      <c r="W822" s="598"/>
      <c r="X822" s="598"/>
      <c r="Y822" s="598"/>
      <c r="Z822" s="598"/>
      <c r="AA822" s="598"/>
      <c r="AB822" s="598"/>
      <c r="AC822" s="273"/>
      <c r="AD822" s="274"/>
      <c r="AE822" s="274"/>
      <c r="AF822" s="274"/>
      <c r="AG822" s="274"/>
      <c r="AH822" s="274"/>
      <c r="AI822" s="599"/>
    </row>
    <row r="823" spans="1:35" x14ac:dyDescent="0.25">
      <c r="A823" s="27"/>
      <c r="B823" s="28"/>
      <c r="C823" s="29"/>
      <c r="D823" s="30"/>
      <c r="E823" s="28"/>
      <c r="F823" s="29"/>
      <c r="G823" s="29"/>
      <c r="H823" s="29"/>
      <c r="I823" s="29"/>
      <c r="J823" s="29"/>
      <c r="K823" s="29"/>
      <c r="L823" s="29"/>
      <c r="M823" s="29"/>
      <c r="N823" s="30"/>
      <c r="O823" s="28">
        <v>12</v>
      </c>
      <c r="P823" s="29" t="s">
        <v>320</v>
      </c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30"/>
      <c r="AD823" s="31"/>
      <c r="AE823" s="31"/>
      <c r="AF823" s="39">
        <f>T828</f>
        <v>0.16800000000000001</v>
      </c>
      <c r="AG823" s="31"/>
      <c r="AH823" s="31"/>
      <c r="AI823" s="32"/>
    </row>
    <row r="824" spans="1:35" x14ac:dyDescent="0.25">
      <c r="A824" s="27"/>
      <c r="B824" s="28"/>
      <c r="C824" s="29"/>
      <c r="D824" s="30"/>
      <c r="E824" s="28"/>
      <c r="F824" s="29"/>
      <c r="G824" s="29"/>
      <c r="H824" s="29"/>
      <c r="I824" s="29"/>
      <c r="J824" s="29"/>
      <c r="K824" s="29"/>
      <c r="L824" s="29"/>
      <c r="M824" s="29"/>
      <c r="N824" s="30"/>
      <c r="O824" s="28"/>
      <c r="P824" s="29"/>
      <c r="Q824" s="29" t="s">
        <v>208</v>
      </c>
      <c r="R824" s="29"/>
      <c r="S824" s="29" t="s">
        <v>29</v>
      </c>
      <c r="T824" s="29">
        <v>4</v>
      </c>
      <c r="U824" s="29"/>
      <c r="V824" s="29"/>
      <c r="W824" s="29"/>
      <c r="X824" s="29"/>
      <c r="Y824" s="29"/>
      <c r="Z824" s="29"/>
      <c r="AA824" s="29"/>
      <c r="AB824" s="29"/>
      <c r="AC824" s="30"/>
      <c r="AD824" s="31"/>
      <c r="AE824" s="31"/>
      <c r="AF824" s="31"/>
      <c r="AG824" s="31"/>
      <c r="AH824" s="31"/>
      <c r="AI824" s="32"/>
    </row>
    <row r="825" spans="1:35" x14ac:dyDescent="0.25">
      <c r="A825" s="27"/>
      <c r="B825" s="28"/>
      <c r="C825" s="29"/>
      <c r="D825" s="30"/>
      <c r="E825" s="28"/>
      <c r="F825" s="29"/>
      <c r="G825" s="29"/>
      <c r="H825" s="29"/>
      <c r="I825" s="29"/>
      <c r="J825" s="29"/>
      <c r="K825" s="29"/>
      <c r="L825" s="29"/>
      <c r="M825" s="29"/>
      <c r="N825" s="30"/>
      <c r="O825" s="28"/>
      <c r="P825" s="29"/>
      <c r="Q825" s="29" t="s">
        <v>21</v>
      </c>
      <c r="R825" s="29"/>
      <c r="S825" s="29" t="s">
        <v>29</v>
      </c>
      <c r="T825" s="29">
        <v>1.4</v>
      </c>
      <c r="U825" s="29"/>
      <c r="V825" s="29"/>
      <c r="W825" s="29"/>
      <c r="X825" s="29"/>
      <c r="Y825" s="29"/>
      <c r="Z825" s="29"/>
      <c r="AA825" s="29"/>
      <c r="AB825" s="29"/>
      <c r="AC825" s="30"/>
      <c r="AD825" s="31"/>
      <c r="AE825" s="31"/>
      <c r="AF825" s="31"/>
      <c r="AG825" s="31"/>
      <c r="AH825" s="31"/>
      <c r="AI825" s="32"/>
    </row>
    <row r="826" spans="1:35" x14ac:dyDescent="0.25">
      <c r="A826" s="27"/>
      <c r="B826" s="28"/>
      <c r="C826" s="29"/>
      <c r="D826" s="30"/>
      <c r="E826" s="28"/>
      <c r="F826" s="29"/>
      <c r="G826" s="29"/>
      <c r="H826" s="29"/>
      <c r="I826" s="29"/>
      <c r="J826" s="29"/>
      <c r="K826" s="29"/>
      <c r="L826" s="29"/>
      <c r="M826" s="29"/>
      <c r="N826" s="30"/>
      <c r="O826" s="28"/>
      <c r="P826" s="29"/>
      <c r="Q826" s="29" t="s">
        <v>22</v>
      </c>
      <c r="R826" s="29"/>
      <c r="S826" s="29" t="s">
        <v>29</v>
      </c>
      <c r="T826" s="29">
        <v>0.15</v>
      </c>
      <c r="U826" s="29"/>
      <c r="V826" s="29"/>
      <c r="W826" s="29"/>
      <c r="X826" s="29"/>
      <c r="Y826" s="29"/>
      <c r="Z826" s="29"/>
      <c r="AA826" s="29"/>
      <c r="AB826" s="29"/>
      <c r="AC826" s="30"/>
      <c r="AD826" s="31"/>
      <c r="AE826" s="31"/>
      <c r="AF826" s="31"/>
      <c r="AG826" s="31"/>
      <c r="AH826" s="31"/>
      <c r="AI826" s="32"/>
    </row>
    <row r="827" spans="1:35" x14ac:dyDescent="0.25">
      <c r="A827" s="27"/>
      <c r="B827" s="28"/>
      <c r="C827" s="29"/>
      <c r="D827" s="30"/>
      <c r="E827" s="28"/>
      <c r="F827" s="29"/>
      <c r="G827" s="29"/>
      <c r="H827" s="29"/>
      <c r="I827" s="29"/>
      <c r="J827" s="29"/>
      <c r="K827" s="29"/>
      <c r="L827" s="29"/>
      <c r="M827" s="29"/>
      <c r="N827" s="30"/>
      <c r="O827" s="28"/>
      <c r="P827" s="29"/>
      <c r="Q827" s="29" t="s">
        <v>209</v>
      </c>
      <c r="R827" s="29"/>
      <c r="S827" s="29" t="s">
        <v>29</v>
      </c>
      <c r="T827" s="29">
        <v>0.2</v>
      </c>
      <c r="U827" s="29"/>
      <c r="V827" s="29"/>
      <c r="W827" s="29"/>
      <c r="X827" s="29"/>
      <c r="Y827" s="29"/>
      <c r="Z827" s="29"/>
      <c r="AA827" s="29"/>
      <c r="AB827" s="29"/>
      <c r="AC827" s="30"/>
      <c r="AD827" s="31"/>
      <c r="AE827" s="31"/>
      <c r="AF827" s="31"/>
      <c r="AG827" s="31"/>
      <c r="AH827" s="31"/>
      <c r="AI827" s="32"/>
    </row>
    <row r="828" spans="1:35" x14ac:dyDescent="0.25">
      <c r="A828" s="27"/>
      <c r="B828" s="28"/>
      <c r="C828" s="29"/>
      <c r="D828" s="30"/>
      <c r="E828" s="28"/>
      <c r="F828" s="29"/>
      <c r="G828" s="29"/>
      <c r="H828" s="29"/>
      <c r="I828" s="29"/>
      <c r="J828" s="29"/>
      <c r="K828" s="29"/>
      <c r="L828" s="29"/>
      <c r="M828" s="29"/>
      <c r="N828" s="30"/>
      <c r="O828" s="28"/>
      <c r="P828" s="29"/>
      <c r="Q828" s="29" t="s">
        <v>210</v>
      </c>
      <c r="R828" s="29"/>
      <c r="S828" s="29" t="s">
        <v>29</v>
      </c>
      <c r="T828" s="29">
        <f>T824*T825*T826*T827</f>
        <v>0.16800000000000001</v>
      </c>
      <c r="U828" s="29"/>
      <c r="V828" s="29"/>
      <c r="W828" s="29"/>
      <c r="X828" s="29"/>
      <c r="Y828" s="29"/>
      <c r="Z828" s="29"/>
      <c r="AA828" s="29"/>
      <c r="AB828" s="29"/>
      <c r="AC828" s="30"/>
      <c r="AD828" s="31"/>
      <c r="AE828" s="31"/>
      <c r="AF828" s="31"/>
      <c r="AG828" s="31"/>
      <c r="AH828" s="31"/>
      <c r="AI828" s="32"/>
    </row>
    <row r="829" spans="1:35" x14ac:dyDescent="0.25">
      <c r="A829" s="27"/>
      <c r="B829" s="28"/>
      <c r="C829" s="29"/>
      <c r="D829" s="30"/>
      <c r="E829" s="28"/>
      <c r="F829" s="29"/>
      <c r="G829" s="29"/>
      <c r="H829" s="29"/>
      <c r="I829" s="29"/>
      <c r="J829" s="29"/>
      <c r="K829" s="29"/>
      <c r="L829" s="29"/>
      <c r="M829" s="29"/>
      <c r="N829" s="30"/>
      <c r="O829" s="28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30"/>
      <c r="AD829" s="31"/>
      <c r="AE829" s="31"/>
      <c r="AF829" s="31"/>
      <c r="AG829" s="31"/>
      <c r="AH829" s="31"/>
      <c r="AI829" s="32"/>
    </row>
    <row r="830" spans="1:35" x14ac:dyDescent="0.25">
      <c r="A830" s="27"/>
      <c r="B830" s="28"/>
      <c r="C830" s="29"/>
      <c r="D830" s="30"/>
      <c r="E830" s="28"/>
      <c r="F830" s="29"/>
      <c r="G830" s="29"/>
      <c r="H830" s="29"/>
      <c r="I830" s="29"/>
      <c r="J830" s="29"/>
      <c r="K830" s="29"/>
      <c r="L830" s="29"/>
      <c r="M830" s="29"/>
      <c r="N830" s="30"/>
      <c r="O830" s="28">
        <v>13</v>
      </c>
      <c r="P830" s="29" t="s">
        <v>321</v>
      </c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30"/>
      <c r="AD830" s="31"/>
      <c r="AE830" s="31"/>
      <c r="AF830" s="357">
        <f>T834+T839+T844</f>
        <v>0.59075</v>
      </c>
      <c r="AG830" s="31"/>
      <c r="AH830" s="31"/>
      <c r="AI830" s="32"/>
    </row>
    <row r="831" spans="1:35" x14ac:dyDescent="0.25">
      <c r="A831" s="27"/>
      <c r="B831" s="28"/>
      <c r="C831" s="29"/>
      <c r="D831" s="30"/>
      <c r="E831" s="28"/>
      <c r="F831" s="29"/>
      <c r="G831" s="29"/>
      <c r="H831" s="29"/>
      <c r="I831" s="29"/>
      <c r="J831" s="29"/>
      <c r="K831" s="29"/>
      <c r="L831" s="29"/>
      <c r="M831" s="29"/>
      <c r="N831" s="30"/>
      <c r="O831" s="28"/>
      <c r="P831" s="29"/>
      <c r="Q831" s="29" t="s">
        <v>21</v>
      </c>
      <c r="R831" s="29"/>
      <c r="S831" s="29" t="s">
        <v>29</v>
      </c>
      <c r="T831" s="29">
        <v>2.7</v>
      </c>
      <c r="U831" s="29"/>
      <c r="V831" s="29"/>
      <c r="W831" s="29"/>
      <c r="X831" s="29"/>
      <c r="Y831" s="29"/>
      <c r="Z831" s="29"/>
      <c r="AA831" s="29"/>
      <c r="AB831" s="29"/>
      <c r="AC831" s="30"/>
      <c r="AD831" s="31"/>
      <c r="AE831" s="31"/>
      <c r="AF831" s="31"/>
      <c r="AG831" s="31"/>
      <c r="AH831" s="31"/>
      <c r="AI831" s="32"/>
    </row>
    <row r="832" spans="1:35" x14ac:dyDescent="0.25">
      <c r="A832" s="27"/>
      <c r="B832" s="28"/>
      <c r="C832" s="29"/>
      <c r="D832" s="30"/>
      <c r="E832" s="28"/>
      <c r="F832" s="29"/>
      <c r="G832" s="29"/>
      <c r="H832" s="29"/>
      <c r="I832" s="29"/>
      <c r="J832" s="29"/>
      <c r="K832" s="29"/>
      <c r="L832" s="29"/>
      <c r="M832" s="29"/>
      <c r="N832" s="30"/>
      <c r="O832" s="28"/>
      <c r="P832" s="29"/>
      <c r="Q832" s="29" t="s">
        <v>22</v>
      </c>
      <c r="R832" s="29"/>
      <c r="S832" s="29" t="s">
        <v>29</v>
      </c>
      <c r="T832" s="29">
        <v>1.35</v>
      </c>
      <c r="U832" s="29"/>
      <c r="V832" s="29"/>
      <c r="W832" s="29"/>
      <c r="X832" s="29"/>
      <c r="Y832" s="29"/>
      <c r="Z832" s="29"/>
      <c r="AA832" s="29"/>
      <c r="AB832" s="29"/>
      <c r="AC832" s="30"/>
      <c r="AD832" s="31"/>
      <c r="AE832" s="31"/>
      <c r="AF832" s="31"/>
      <c r="AG832" s="31"/>
      <c r="AH832" s="31"/>
      <c r="AI832" s="32"/>
    </row>
    <row r="833" spans="1:35" x14ac:dyDescent="0.25">
      <c r="A833" s="27"/>
      <c r="B833" s="28"/>
      <c r="C833" s="29"/>
      <c r="D833" s="30"/>
      <c r="E833" s="28"/>
      <c r="F833" s="29"/>
      <c r="G833" s="29"/>
      <c r="H833" s="29"/>
      <c r="I833" s="29"/>
      <c r="J833" s="29"/>
      <c r="K833" s="29"/>
      <c r="L833" s="29"/>
      <c r="M833" s="29"/>
      <c r="N833" s="30"/>
      <c r="O833" s="28"/>
      <c r="P833" s="29"/>
      <c r="Q833" s="29" t="s">
        <v>209</v>
      </c>
      <c r="R833" s="29"/>
      <c r="S833" s="29" t="s">
        <v>29</v>
      </c>
      <c r="T833" s="29">
        <v>0.1</v>
      </c>
      <c r="U833" s="29"/>
      <c r="V833" s="29"/>
      <c r="W833" s="29"/>
      <c r="X833" s="29"/>
      <c r="Y833" s="29"/>
      <c r="Z833" s="29"/>
      <c r="AA833" s="29"/>
      <c r="AB833" s="29"/>
      <c r="AC833" s="30"/>
      <c r="AD833" s="31"/>
      <c r="AE833" s="31"/>
      <c r="AF833" s="31"/>
      <c r="AG833" s="31"/>
      <c r="AH833" s="31"/>
      <c r="AI833" s="32"/>
    </row>
    <row r="834" spans="1:35" x14ac:dyDescent="0.25">
      <c r="A834" s="27"/>
      <c r="B834" s="28"/>
      <c r="C834" s="29"/>
      <c r="D834" s="30"/>
      <c r="E834" s="28"/>
      <c r="F834" s="29"/>
      <c r="G834" s="29"/>
      <c r="H834" s="29"/>
      <c r="I834" s="29"/>
      <c r="J834" s="29"/>
      <c r="K834" s="29"/>
      <c r="L834" s="29"/>
      <c r="M834" s="29"/>
      <c r="N834" s="30"/>
      <c r="O834" s="28"/>
      <c r="P834" s="29"/>
      <c r="Q834" s="29" t="s">
        <v>210</v>
      </c>
      <c r="R834" s="29"/>
      <c r="S834" s="29" t="s">
        <v>29</v>
      </c>
      <c r="T834" s="29">
        <f>T831*T832*T833</f>
        <v>0.36450000000000005</v>
      </c>
      <c r="U834" s="29"/>
      <c r="V834" s="29"/>
      <c r="W834" s="29"/>
      <c r="X834" s="29"/>
      <c r="Y834" s="29"/>
      <c r="Z834" s="29"/>
      <c r="AA834" s="29"/>
      <c r="AB834" s="29"/>
      <c r="AC834" s="30"/>
      <c r="AD834" s="31"/>
      <c r="AE834" s="31"/>
      <c r="AF834" s="31"/>
      <c r="AG834" s="31"/>
      <c r="AH834" s="31"/>
      <c r="AI834" s="32"/>
    </row>
    <row r="835" spans="1:35" x14ac:dyDescent="0.25">
      <c r="A835" s="27"/>
      <c r="B835" s="28"/>
      <c r="C835" s="29"/>
      <c r="D835" s="30"/>
      <c r="E835" s="28"/>
      <c r="F835" s="29"/>
      <c r="G835" s="29"/>
      <c r="H835" s="29"/>
      <c r="I835" s="29"/>
      <c r="J835" s="29"/>
      <c r="K835" s="29"/>
      <c r="L835" s="29"/>
      <c r="M835" s="29"/>
      <c r="N835" s="30"/>
      <c r="O835" s="28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30"/>
      <c r="AD835" s="31"/>
      <c r="AE835" s="31"/>
      <c r="AF835" s="31"/>
      <c r="AG835" s="31"/>
      <c r="AH835" s="31"/>
      <c r="AI835" s="32"/>
    </row>
    <row r="836" spans="1:35" x14ac:dyDescent="0.25">
      <c r="A836" s="27"/>
      <c r="B836" s="28"/>
      <c r="C836" s="29"/>
      <c r="D836" s="30"/>
      <c r="E836" s="28"/>
      <c r="F836" s="29"/>
      <c r="G836" s="29"/>
      <c r="H836" s="29"/>
      <c r="I836" s="29"/>
      <c r="J836" s="29"/>
      <c r="K836" s="29"/>
      <c r="L836" s="29"/>
      <c r="M836" s="29"/>
      <c r="N836" s="30"/>
      <c r="O836" s="28"/>
      <c r="P836" s="29"/>
      <c r="Q836" s="29" t="s">
        <v>21</v>
      </c>
      <c r="R836" s="29"/>
      <c r="S836" s="29" t="s">
        <v>29</v>
      </c>
      <c r="T836" s="29">
        <v>1.4</v>
      </c>
      <c r="U836" s="29"/>
      <c r="V836" s="29"/>
      <c r="W836" s="29"/>
      <c r="X836" s="29"/>
      <c r="Y836" s="29"/>
      <c r="Z836" s="29"/>
      <c r="AA836" s="29"/>
      <c r="AB836" s="29"/>
      <c r="AC836" s="30"/>
      <c r="AD836" s="31"/>
      <c r="AE836" s="31"/>
      <c r="AF836" s="31"/>
      <c r="AG836" s="31"/>
      <c r="AH836" s="31"/>
      <c r="AI836" s="32"/>
    </row>
    <row r="837" spans="1:35" x14ac:dyDescent="0.25">
      <c r="A837" s="27"/>
      <c r="B837" s="28"/>
      <c r="C837" s="29"/>
      <c r="D837" s="30"/>
      <c r="E837" s="28"/>
      <c r="F837" s="29"/>
      <c r="G837" s="29"/>
      <c r="H837" s="29"/>
      <c r="I837" s="29"/>
      <c r="J837" s="29"/>
      <c r="K837" s="29"/>
      <c r="L837" s="29"/>
      <c r="M837" s="29"/>
      <c r="N837" s="30"/>
      <c r="O837" s="28"/>
      <c r="P837" s="29"/>
      <c r="Q837" s="29" t="s">
        <v>22</v>
      </c>
      <c r="R837" s="29"/>
      <c r="S837" s="29" t="s">
        <v>29</v>
      </c>
      <c r="T837" s="29">
        <v>1.4</v>
      </c>
      <c r="U837" s="29"/>
      <c r="V837" s="29"/>
      <c r="W837" s="29"/>
      <c r="X837" s="29"/>
      <c r="Y837" s="29"/>
      <c r="Z837" s="29"/>
      <c r="AA837" s="29"/>
      <c r="AB837" s="29"/>
      <c r="AC837" s="30"/>
      <c r="AD837" s="31"/>
      <c r="AE837" s="31"/>
      <c r="AF837" s="31"/>
      <c r="AG837" s="31"/>
      <c r="AH837" s="31"/>
      <c r="AI837" s="32"/>
    </row>
    <row r="838" spans="1:35" x14ac:dyDescent="0.25">
      <c r="A838" s="27"/>
      <c r="B838" s="28"/>
      <c r="C838" s="29"/>
      <c r="D838" s="30"/>
      <c r="E838" s="28"/>
      <c r="F838" s="29"/>
      <c r="G838" s="29"/>
      <c r="H838" s="29"/>
      <c r="I838" s="29"/>
      <c r="J838" s="29"/>
      <c r="K838" s="29"/>
      <c r="L838" s="29"/>
      <c r="M838" s="29"/>
      <c r="N838" s="30"/>
      <c r="O838" s="28"/>
      <c r="P838" s="29"/>
      <c r="Q838" s="29" t="s">
        <v>209</v>
      </c>
      <c r="R838" s="29"/>
      <c r="S838" s="29" t="s">
        <v>29</v>
      </c>
      <c r="T838" s="29">
        <v>0.1</v>
      </c>
      <c r="U838" s="29"/>
      <c r="V838" s="29"/>
      <c r="W838" s="29"/>
      <c r="X838" s="29"/>
      <c r="Y838" s="29"/>
      <c r="Z838" s="29"/>
      <c r="AA838" s="29"/>
      <c r="AB838" s="29"/>
      <c r="AC838" s="30"/>
      <c r="AD838" s="31"/>
      <c r="AE838" s="31"/>
      <c r="AF838" s="31"/>
      <c r="AG838" s="31"/>
      <c r="AH838" s="31"/>
      <c r="AI838" s="32"/>
    </row>
    <row r="839" spans="1:35" x14ac:dyDescent="0.25">
      <c r="A839" s="27"/>
      <c r="B839" s="28"/>
      <c r="C839" s="29"/>
      <c r="D839" s="30"/>
      <c r="E839" s="28"/>
      <c r="F839" s="29"/>
      <c r="G839" s="29"/>
      <c r="H839" s="29"/>
      <c r="I839" s="29"/>
      <c r="J839" s="29"/>
      <c r="K839" s="29"/>
      <c r="L839" s="29"/>
      <c r="M839" s="29"/>
      <c r="N839" s="30"/>
      <c r="O839" s="28"/>
      <c r="P839" s="29"/>
      <c r="Q839" s="29" t="s">
        <v>210</v>
      </c>
      <c r="R839" s="29"/>
      <c r="S839" s="29" t="s">
        <v>29</v>
      </c>
      <c r="T839" s="29">
        <f>T836*T837*T838</f>
        <v>0.19599999999999998</v>
      </c>
      <c r="U839" s="29"/>
      <c r="V839" s="29"/>
      <c r="W839" s="29"/>
      <c r="X839" s="29"/>
      <c r="Y839" s="29"/>
      <c r="Z839" s="29"/>
      <c r="AA839" s="29"/>
      <c r="AB839" s="29"/>
      <c r="AC839" s="30"/>
      <c r="AD839" s="31"/>
      <c r="AE839" s="31"/>
      <c r="AF839" s="31"/>
      <c r="AG839" s="31"/>
      <c r="AH839" s="31"/>
      <c r="AI839" s="32"/>
    </row>
    <row r="840" spans="1:35" x14ac:dyDescent="0.25">
      <c r="A840" s="27"/>
      <c r="B840" s="28"/>
      <c r="C840" s="29"/>
      <c r="D840" s="30"/>
      <c r="E840" s="28"/>
      <c r="F840" s="29"/>
      <c r="G840" s="29"/>
      <c r="H840" s="29"/>
      <c r="I840" s="29"/>
      <c r="J840" s="29"/>
      <c r="K840" s="29"/>
      <c r="L840" s="29"/>
      <c r="M840" s="29"/>
      <c r="N840" s="30"/>
      <c r="O840" s="28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30"/>
      <c r="AD840" s="31"/>
      <c r="AE840" s="31"/>
      <c r="AF840" s="31"/>
      <c r="AG840" s="31"/>
      <c r="AH840" s="31"/>
      <c r="AI840" s="32"/>
    </row>
    <row r="841" spans="1:35" x14ac:dyDescent="0.25">
      <c r="A841" s="27"/>
      <c r="B841" s="28"/>
      <c r="C841" s="29"/>
      <c r="D841" s="30"/>
      <c r="E841" s="28"/>
      <c r="F841" s="29"/>
      <c r="G841" s="29"/>
      <c r="H841" s="29"/>
      <c r="I841" s="29"/>
      <c r="J841" s="29"/>
      <c r="K841" s="29"/>
      <c r="L841" s="29"/>
      <c r="M841" s="29"/>
      <c r="N841" s="30"/>
      <c r="O841" s="28"/>
      <c r="P841" s="29"/>
      <c r="Q841" s="29" t="s">
        <v>21</v>
      </c>
      <c r="R841" s="29"/>
      <c r="S841" s="29" t="s">
        <v>29</v>
      </c>
      <c r="T841" s="29">
        <v>0.55000000000000004</v>
      </c>
      <c r="U841" s="29"/>
      <c r="V841" s="29"/>
      <c r="W841" s="29"/>
      <c r="X841" s="29"/>
      <c r="Y841" s="29"/>
      <c r="Z841" s="29"/>
      <c r="AA841" s="29"/>
      <c r="AB841" s="29"/>
      <c r="AC841" s="30"/>
      <c r="AD841" s="31"/>
      <c r="AE841" s="31"/>
      <c r="AF841" s="31"/>
      <c r="AG841" s="31"/>
      <c r="AH841" s="31"/>
      <c r="AI841" s="32"/>
    </row>
    <row r="842" spans="1:35" x14ac:dyDescent="0.25">
      <c r="A842" s="27"/>
      <c r="B842" s="28"/>
      <c r="C842" s="29"/>
      <c r="D842" s="30"/>
      <c r="E842" s="28"/>
      <c r="F842" s="29"/>
      <c r="G842" s="29"/>
      <c r="H842" s="29"/>
      <c r="I842" s="29"/>
      <c r="J842" s="29"/>
      <c r="K842" s="29"/>
      <c r="L842" s="29"/>
      <c r="M842" s="29"/>
      <c r="N842" s="30"/>
      <c r="O842" s="28"/>
      <c r="P842" s="29"/>
      <c r="Q842" s="29" t="s">
        <v>22</v>
      </c>
      <c r="R842" s="29"/>
      <c r="S842" s="29" t="s">
        <v>29</v>
      </c>
      <c r="T842" s="29">
        <v>0.55000000000000004</v>
      </c>
      <c r="U842" s="29"/>
      <c r="V842" s="29"/>
      <c r="W842" s="29"/>
      <c r="X842" s="29"/>
      <c r="Y842" s="29"/>
      <c r="Z842" s="29"/>
      <c r="AA842" s="29"/>
      <c r="AB842" s="29"/>
      <c r="AC842" s="30"/>
      <c r="AD842" s="31"/>
      <c r="AE842" s="31"/>
      <c r="AF842" s="31"/>
      <c r="AG842" s="31"/>
      <c r="AH842" s="31"/>
      <c r="AI842" s="32"/>
    </row>
    <row r="843" spans="1:35" x14ac:dyDescent="0.25">
      <c r="A843" s="27"/>
      <c r="B843" s="28"/>
      <c r="C843" s="29"/>
      <c r="D843" s="30"/>
      <c r="E843" s="28"/>
      <c r="F843" s="29"/>
      <c r="G843" s="29"/>
      <c r="H843" s="29"/>
      <c r="I843" s="29"/>
      <c r="J843" s="29"/>
      <c r="K843" s="29"/>
      <c r="L843" s="29"/>
      <c r="M843" s="29"/>
      <c r="N843" s="30"/>
      <c r="O843" s="28"/>
      <c r="P843" s="29"/>
      <c r="Q843" s="29" t="s">
        <v>209</v>
      </c>
      <c r="R843" s="29"/>
      <c r="S843" s="29" t="s">
        <v>29</v>
      </c>
      <c r="T843" s="29">
        <v>0.1</v>
      </c>
      <c r="U843" s="29"/>
      <c r="V843" s="29"/>
      <c r="W843" s="29"/>
      <c r="X843" s="29"/>
      <c r="Y843" s="29"/>
      <c r="Z843" s="29"/>
      <c r="AA843" s="29"/>
      <c r="AB843" s="29"/>
      <c r="AC843" s="30"/>
      <c r="AD843" s="31"/>
      <c r="AE843" s="31"/>
      <c r="AF843" s="31"/>
      <c r="AG843" s="31"/>
      <c r="AH843" s="31"/>
      <c r="AI843" s="32"/>
    </row>
    <row r="844" spans="1:35" x14ac:dyDescent="0.25">
      <c r="A844" s="27"/>
      <c r="B844" s="28"/>
      <c r="C844" s="29"/>
      <c r="D844" s="30"/>
      <c r="E844" s="28"/>
      <c r="F844" s="29"/>
      <c r="G844" s="29"/>
      <c r="H844" s="29"/>
      <c r="I844" s="29"/>
      <c r="J844" s="29"/>
      <c r="K844" s="29"/>
      <c r="L844" s="29"/>
      <c r="M844" s="29"/>
      <c r="N844" s="30"/>
      <c r="O844" s="28"/>
      <c r="P844" s="29"/>
      <c r="Q844" s="29" t="s">
        <v>210</v>
      </c>
      <c r="R844" s="29"/>
      <c r="S844" s="29" t="s">
        <v>29</v>
      </c>
      <c r="T844" s="29">
        <f>T841*T842*T843</f>
        <v>3.0250000000000006E-2</v>
      </c>
      <c r="U844" s="29"/>
      <c r="V844" s="29"/>
      <c r="W844" s="29"/>
      <c r="X844" s="29"/>
      <c r="Y844" s="29"/>
      <c r="Z844" s="29"/>
      <c r="AA844" s="29"/>
      <c r="AB844" s="29"/>
      <c r="AC844" s="30"/>
      <c r="AD844" s="31"/>
      <c r="AE844" s="31"/>
      <c r="AF844" s="31"/>
      <c r="AG844" s="31"/>
      <c r="AH844" s="31"/>
      <c r="AI844" s="32"/>
    </row>
    <row r="845" spans="1:35" x14ac:dyDescent="0.25">
      <c r="A845" s="27"/>
      <c r="B845" s="28"/>
      <c r="C845" s="29"/>
      <c r="D845" s="30"/>
      <c r="E845" s="28"/>
      <c r="F845" s="29"/>
      <c r="G845" s="29"/>
      <c r="H845" s="29"/>
      <c r="I845" s="29"/>
      <c r="J845" s="29"/>
      <c r="K845" s="29"/>
      <c r="L845" s="29"/>
      <c r="M845" s="29"/>
      <c r="N845" s="30"/>
      <c r="O845" s="28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30"/>
      <c r="AD845" s="31"/>
      <c r="AE845" s="31"/>
      <c r="AF845" s="31"/>
      <c r="AG845" s="31"/>
      <c r="AH845" s="31"/>
      <c r="AI845" s="32"/>
    </row>
    <row r="846" spans="1:35" x14ac:dyDescent="0.25">
      <c r="A846" s="27"/>
      <c r="B846" s="28"/>
      <c r="C846" s="29"/>
      <c r="D846" s="30"/>
      <c r="E846" s="28"/>
      <c r="F846" s="29"/>
      <c r="G846" s="29"/>
      <c r="H846" s="29"/>
      <c r="I846" s="29"/>
      <c r="J846" s="29"/>
      <c r="K846" s="29"/>
      <c r="L846" s="29"/>
      <c r="M846" s="29"/>
      <c r="N846" s="30"/>
      <c r="O846" s="28">
        <v>14</v>
      </c>
      <c r="P846" s="29" t="s">
        <v>1901</v>
      </c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30"/>
      <c r="AD846" s="31"/>
      <c r="AE846" s="39">
        <v>3</v>
      </c>
      <c r="AF846" s="31"/>
      <c r="AG846" s="31"/>
      <c r="AH846" s="31"/>
      <c r="AI846" s="32"/>
    </row>
    <row r="847" spans="1:35" x14ac:dyDescent="0.25">
      <c r="A847" s="27"/>
      <c r="B847" s="28"/>
      <c r="C847" s="29"/>
      <c r="D847" s="30"/>
      <c r="E847" s="28"/>
      <c r="F847" s="29"/>
      <c r="G847" s="29"/>
      <c r="H847" s="29"/>
      <c r="I847" s="29"/>
      <c r="J847" s="29"/>
      <c r="K847" s="29"/>
      <c r="L847" s="29"/>
      <c r="M847" s="29"/>
      <c r="N847" s="30"/>
      <c r="O847" s="28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30"/>
      <c r="AD847" s="31"/>
      <c r="AE847" s="31"/>
      <c r="AF847" s="31"/>
      <c r="AG847" s="31"/>
      <c r="AH847" s="31"/>
      <c r="AI847" s="32"/>
    </row>
    <row r="848" spans="1:35" x14ac:dyDescent="0.25">
      <c r="A848" s="27"/>
      <c r="B848" s="28"/>
      <c r="C848" s="29"/>
      <c r="D848" s="30"/>
      <c r="E848" s="28"/>
      <c r="F848" s="29"/>
      <c r="G848" s="29"/>
      <c r="H848" s="29"/>
      <c r="I848" s="29"/>
      <c r="J848" s="29"/>
      <c r="K848" s="29"/>
      <c r="L848" s="29"/>
      <c r="M848" s="29"/>
      <c r="N848" s="30"/>
      <c r="O848" s="28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30"/>
      <c r="AD848" s="31"/>
      <c r="AE848" s="31"/>
      <c r="AF848" s="31"/>
      <c r="AG848" s="31"/>
      <c r="AH848" s="31"/>
      <c r="AI848" s="32"/>
    </row>
    <row r="849" spans="1:35" x14ac:dyDescent="0.25">
      <c r="A849" s="27"/>
      <c r="B849" s="28"/>
      <c r="C849" s="29"/>
      <c r="D849" s="30"/>
      <c r="E849" s="28"/>
      <c r="F849" s="29"/>
      <c r="G849" s="29"/>
      <c r="H849" s="29"/>
      <c r="I849" s="29"/>
      <c r="J849" s="29"/>
      <c r="K849" s="29"/>
      <c r="L849" s="29"/>
      <c r="M849" s="29"/>
      <c r="N849" s="30"/>
      <c r="O849" s="28">
        <v>15</v>
      </c>
      <c r="P849" s="29" t="s">
        <v>1902</v>
      </c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30"/>
      <c r="AD849" s="31"/>
      <c r="AE849" s="31"/>
      <c r="AF849" s="31"/>
      <c r="AG849" s="31"/>
      <c r="AH849" s="39">
        <v>1</v>
      </c>
      <c r="AI849" s="32"/>
    </row>
    <row r="850" spans="1:35" x14ac:dyDescent="0.25">
      <c r="A850" s="27"/>
      <c r="B850" s="28"/>
      <c r="C850" s="29"/>
      <c r="D850" s="30"/>
      <c r="E850" s="28"/>
      <c r="F850" s="29"/>
      <c r="G850" s="29"/>
      <c r="H850" s="29"/>
      <c r="I850" s="29"/>
      <c r="J850" s="29"/>
      <c r="K850" s="29"/>
      <c r="L850" s="29"/>
      <c r="M850" s="29"/>
      <c r="N850" s="30"/>
      <c r="O850" s="28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30"/>
      <c r="AD850" s="31"/>
      <c r="AE850" s="31"/>
      <c r="AF850" s="31"/>
      <c r="AG850" s="31"/>
      <c r="AH850" s="31"/>
      <c r="AI850" s="32"/>
    </row>
    <row r="851" spans="1:35" x14ac:dyDescent="0.25">
      <c r="A851" s="27"/>
      <c r="B851" s="28"/>
      <c r="C851" s="29"/>
      <c r="D851" s="30"/>
      <c r="E851" s="28"/>
      <c r="F851" s="29"/>
      <c r="G851" s="29"/>
      <c r="H851" s="29"/>
      <c r="I851" s="29"/>
      <c r="J851" s="29"/>
      <c r="K851" s="29"/>
      <c r="L851" s="29"/>
      <c r="M851" s="29"/>
      <c r="N851" s="30"/>
      <c r="O851" s="28">
        <v>16</v>
      </c>
      <c r="P851" s="29" t="s">
        <v>324</v>
      </c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30"/>
      <c r="AD851" s="31"/>
      <c r="AE851" s="37">
        <f>T853+T859</f>
        <v>34.14</v>
      </c>
      <c r="AF851" s="31"/>
      <c r="AG851" s="31"/>
      <c r="AH851" s="31"/>
      <c r="AI851" s="32"/>
    </row>
    <row r="852" spans="1:35" x14ac:dyDescent="0.25">
      <c r="A852" s="27"/>
      <c r="B852" s="28"/>
      <c r="C852" s="29"/>
      <c r="D852" s="30"/>
      <c r="E852" s="28"/>
      <c r="F852" s="29"/>
      <c r="G852" s="29"/>
      <c r="H852" s="29"/>
      <c r="I852" s="29"/>
      <c r="J852" s="29"/>
      <c r="K852" s="29"/>
      <c r="L852" s="29"/>
      <c r="M852" s="29"/>
      <c r="N852" s="30"/>
      <c r="O852" s="28"/>
      <c r="P852" s="29" t="s">
        <v>160</v>
      </c>
      <c r="Q852" s="29" t="s">
        <v>273</v>
      </c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30"/>
      <c r="AD852" s="31"/>
      <c r="AE852" s="31"/>
      <c r="AF852" s="31"/>
      <c r="AG852" s="31"/>
      <c r="AH852" s="31"/>
      <c r="AI852" s="32"/>
    </row>
    <row r="853" spans="1:35" x14ac:dyDescent="0.25">
      <c r="A853" s="27"/>
      <c r="B853" s="28"/>
      <c r="C853" s="29"/>
      <c r="D853" s="30"/>
      <c r="E853" s="28"/>
      <c r="F853" s="29"/>
      <c r="G853" s="29"/>
      <c r="H853" s="29"/>
      <c r="I853" s="29"/>
      <c r="J853" s="29"/>
      <c r="K853" s="29"/>
      <c r="L853" s="29"/>
      <c r="M853" s="29"/>
      <c r="N853" s="30"/>
      <c r="O853" s="28"/>
      <c r="P853" s="29"/>
      <c r="Q853" s="29" t="s">
        <v>1903</v>
      </c>
      <c r="R853" s="29"/>
      <c r="S853" s="29"/>
      <c r="T853" s="79">
        <f>AE719</f>
        <v>24.959999999999997</v>
      </c>
      <c r="U853" s="29"/>
      <c r="V853" s="29"/>
      <c r="W853" s="29"/>
      <c r="X853" s="29"/>
      <c r="Y853" s="29"/>
      <c r="Z853" s="29"/>
      <c r="AA853" s="29"/>
      <c r="AB853" s="29"/>
      <c r="AC853" s="30"/>
      <c r="AD853" s="31"/>
      <c r="AE853" s="31"/>
      <c r="AF853" s="31"/>
      <c r="AG853" s="31"/>
      <c r="AH853" s="31"/>
      <c r="AI853" s="32"/>
    </row>
    <row r="854" spans="1:35" x14ac:dyDescent="0.25">
      <c r="A854" s="27"/>
      <c r="B854" s="28"/>
      <c r="C854" s="29"/>
      <c r="D854" s="30"/>
      <c r="E854" s="28"/>
      <c r="F854" s="29"/>
      <c r="G854" s="29"/>
      <c r="H854" s="29"/>
      <c r="I854" s="29"/>
      <c r="J854" s="29"/>
      <c r="K854" s="29"/>
      <c r="L854" s="29"/>
      <c r="M854" s="29"/>
      <c r="N854" s="30"/>
      <c r="O854" s="28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30"/>
      <c r="AD854" s="31"/>
      <c r="AE854" s="31"/>
      <c r="AF854" s="31"/>
      <c r="AG854" s="31"/>
      <c r="AH854" s="31"/>
      <c r="AI854" s="32"/>
    </row>
    <row r="855" spans="1:35" x14ac:dyDescent="0.25">
      <c r="A855" s="27"/>
      <c r="B855" s="28"/>
      <c r="C855" s="29"/>
      <c r="D855" s="30"/>
      <c r="E855" s="28"/>
      <c r="F855" s="29"/>
      <c r="G855" s="29"/>
      <c r="H855" s="29"/>
      <c r="I855" s="29"/>
      <c r="J855" s="29"/>
      <c r="K855" s="29"/>
      <c r="L855" s="29"/>
      <c r="M855" s="29"/>
      <c r="N855" s="30"/>
      <c r="O855" s="28"/>
      <c r="P855" s="29" t="s">
        <v>161</v>
      </c>
      <c r="Q855" s="29" t="s">
        <v>275</v>
      </c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30"/>
      <c r="AD855" s="31"/>
      <c r="AE855" s="31"/>
      <c r="AF855" s="31"/>
      <c r="AG855" s="31"/>
      <c r="AH855" s="31"/>
      <c r="AI855" s="32"/>
    </row>
    <row r="856" spans="1:35" x14ac:dyDescent="0.25">
      <c r="A856" s="27"/>
      <c r="B856" s="28"/>
      <c r="C856" s="29"/>
      <c r="D856" s="30"/>
      <c r="E856" s="28"/>
      <c r="F856" s="29"/>
      <c r="G856" s="29"/>
      <c r="H856" s="29"/>
      <c r="I856" s="29"/>
      <c r="J856" s="29"/>
      <c r="K856" s="29"/>
      <c r="L856" s="29"/>
      <c r="M856" s="29"/>
      <c r="N856" s="30"/>
      <c r="O856" s="28"/>
      <c r="P856" s="29"/>
      <c r="Q856" s="29" t="s">
        <v>208</v>
      </c>
      <c r="R856" s="29"/>
      <c r="S856" s="29" t="s">
        <v>29</v>
      </c>
      <c r="T856" s="29">
        <v>4</v>
      </c>
      <c r="U856" s="29"/>
      <c r="V856" s="29"/>
      <c r="W856" s="29"/>
      <c r="X856" s="29"/>
      <c r="Y856" s="29"/>
      <c r="Z856" s="29"/>
      <c r="AA856" s="29"/>
      <c r="AB856" s="29"/>
      <c r="AC856" s="30"/>
      <c r="AD856" s="31"/>
      <c r="AE856" s="31"/>
      <c r="AF856" s="31"/>
      <c r="AG856" s="31"/>
      <c r="AH856" s="31"/>
      <c r="AI856" s="32"/>
    </row>
    <row r="857" spans="1:35" x14ac:dyDescent="0.25">
      <c r="A857" s="27"/>
      <c r="B857" s="28"/>
      <c r="C857" s="29"/>
      <c r="D857" s="30"/>
      <c r="E857" s="28"/>
      <c r="F857" s="29"/>
      <c r="G857" s="29"/>
      <c r="H857" s="29"/>
      <c r="I857" s="29"/>
      <c r="J857" s="29"/>
      <c r="K857" s="29"/>
      <c r="L857" s="29"/>
      <c r="M857" s="29"/>
      <c r="N857" s="30"/>
      <c r="O857" s="28"/>
      <c r="P857" s="29"/>
      <c r="Q857" s="29" t="s">
        <v>21</v>
      </c>
      <c r="R857" s="29"/>
      <c r="S857" s="29" t="s">
        <v>29</v>
      </c>
      <c r="T857" s="29">
        <v>1.7</v>
      </c>
      <c r="U857" s="29"/>
      <c r="V857" s="29"/>
      <c r="W857" s="29"/>
      <c r="X857" s="29"/>
      <c r="Y857" s="29"/>
      <c r="Z857" s="29"/>
      <c r="AA857" s="29"/>
      <c r="AB857" s="29"/>
      <c r="AC857" s="30"/>
      <c r="AD857" s="31"/>
      <c r="AE857" s="31"/>
      <c r="AF857" s="31"/>
      <c r="AG857" s="31"/>
      <c r="AH857" s="31"/>
      <c r="AI857" s="32"/>
    </row>
    <row r="858" spans="1:35" x14ac:dyDescent="0.25">
      <c r="A858" s="27"/>
      <c r="B858" s="28"/>
      <c r="C858" s="29"/>
      <c r="D858" s="30"/>
      <c r="E858" s="28"/>
      <c r="F858" s="29"/>
      <c r="G858" s="29"/>
      <c r="H858" s="29"/>
      <c r="I858" s="29"/>
      <c r="J858" s="29"/>
      <c r="K858" s="29"/>
      <c r="L858" s="29"/>
      <c r="M858" s="29"/>
      <c r="N858" s="30"/>
      <c r="O858" s="28"/>
      <c r="P858" s="29"/>
      <c r="Q858" s="29" t="s">
        <v>22</v>
      </c>
      <c r="R858" s="29"/>
      <c r="S858" s="29" t="s">
        <v>29</v>
      </c>
      <c r="T858" s="29">
        <v>1.35</v>
      </c>
      <c r="U858" s="29"/>
      <c r="V858" s="29"/>
      <c r="W858" s="29"/>
      <c r="X858" s="29"/>
      <c r="Y858" s="29"/>
      <c r="Z858" s="29"/>
      <c r="AA858" s="29"/>
      <c r="AB858" s="29"/>
      <c r="AC858" s="30"/>
      <c r="AD858" s="31"/>
      <c r="AE858" s="31"/>
      <c r="AF858" s="31"/>
      <c r="AG858" s="31"/>
      <c r="AH858" s="31"/>
      <c r="AI858" s="32"/>
    </row>
    <row r="859" spans="1:35" x14ac:dyDescent="0.25">
      <c r="A859" s="27"/>
      <c r="B859" s="28"/>
      <c r="C859" s="29"/>
      <c r="D859" s="30"/>
      <c r="E859" s="28"/>
      <c r="F859" s="29"/>
      <c r="G859" s="29"/>
      <c r="H859" s="29"/>
      <c r="I859" s="29"/>
      <c r="J859" s="29"/>
      <c r="K859" s="29"/>
      <c r="L859" s="29"/>
      <c r="M859" s="29"/>
      <c r="N859" s="30"/>
      <c r="O859" s="28"/>
      <c r="P859" s="29"/>
      <c r="Q859" s="29" t="s">
        <v>222</v>
      </c>
      <c r="R859" s="29"/>
      <c r="S859" s="29" t="s">
        <v>29</v>
      </c>
      <c r="T859" s="29">
        <f>T856*T857*T858</f>
        <v>9.18</v>
      </c>
      <c r="U859" s="29"/>
      <c r="V859" s="29"/>
      <c r="W859" s="29"/>
      <c r="X859" s="29"/>
      <c r="Y859" s="29"/>
      <c r="Z859" s="29"/>
      <c r="AA859" s="29"/>
      <c r="AB859" s="29"/>
      <c r="AC859" s="30"/>
      <c r="AD859" s="31"/>
      <c r="AE859" s="31"/>
      <c r="AF859" s="31"/>
      <c r="AG859" s="31"/>
      <c r="AH859" s="31"/>
      <c r="AI859" s="32"/>
    </row>
    <row r="860" spans="1:35" x14ac:dyDescent="0.25">
      <c r="A860" s="27"/>
      <c r="B860" s="28"/>
      <c r="C860" s="29"/>
      <c r="D860" s="30"/>
      <c r="E860" s="28"/>
      <c r="F860" s="29"/>
      <c r="G860" s="29"/>
      <c r="H860" s="29"/>
      <c r="I860" s="29"/>
      <c r="J860" s="29"/>
      <c r="K860" s="29"/>
      <c r="L860" s="29"/>
      <c r="M860" s="29"/>
      <c r="N860" s="30"/>
      <c r="O860" s="28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30"/>
      <c r="AD860" s="31"/>
      <c r="AE860" s="31"/>
      <c r="AF860" s="31"/>
      <c r="AG860" s="31"/>
      <c r="AH860" s="31"/>
      <c r="AI860" s="32"/>
    </row>
    <row r="861" spans="1:35" x14ac:dyDescent="0.25">
      <c r="A861" s="27"/>
      <c r="B861" s="28"/>
      <c r="C861" s="29"/>
      <c r="D861" s="30"/>
      <c r="E861" s="28"/>
      <c r="F861" s="29"/>
      <c r="G861" s="29"/>
      <c r="H861" s="29"/>
      <c r="I861" s="29"/>
      <c r="J861" s="29"/>
      <c r="K861" s="29"/>
      <c r="L861" s="29"/>
      <c r="M861" s="29"/>
      <c r="N861" s="30"/>
      <c r="O861" s="28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30"/>
      <c r="AD861" s="31"/>
      <c r="AE861" s="31"/>
      <c r="AF861" s="31"/>
      <c r="AG861" s="31"/>
      <c r="AH861" s="31"/>
      <c r="AI861" s="32"/>
    </row>
    <row r="862" spans="1:35" x14ac:dyDescent="0.25">
      <c r="A862" s="27"/>
      <c r="B862" s="28"/>
      <c r="C862" s="29"/>
      <c r="D862" s="30"/>
      <c r="E862" s="28"/>
      <c r="F862" s="29"/>
      <c r="G862" s="29"/>
      <c r="H862" s="29"/>
      <c r="I862" s="29"/>
      <c r="J862" s="29"/>
      <c r="K862" s="29"/>
      <c r="L862" s="29"/>
      <c r="M862" s="29"/>
      <c r="N862" s="30"/>
      <c r="O862" s="28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30"/>
      <c r="AD862" s="31"/>
      <c r="AE862" s="31"/>
      <c r="AF862" s="31"/>
      <c r="AG862" s="31"/>
      <c r="AH862" s="31"/>
      <c r="AI862" s="32"/>
    </row>
    <row r="863" spans="1:35" ht="15.75" thickBot="1" x14ac:dyDescent="0.3">
      <c r="A863" s="5"/>
      <c r="B863" s="17"/>
      <c r="C863" s="18"/>
      <c r="D863" s="19"/>
      <c r="E863" s="17"/>
      <c r="F863" s="18"/>
      <c r="G863" s="18"/>
      <c r="H863" s="18"/>
      <c r="I863" s="18"/>
      <c r="J863" s="18"/>
      <c r="K863" s="18"/>
      <c r="L863" s="18"/>
      <c r="M863" s="18"/>
      <c r="N863" s="19"/>
      <c r="O863" s="17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9"/>
      <c r="AD863" s="6"/>
      <c r="AE863" s="6"/>
      <c r="AF863" s="6"/>
      <c r="AG863" s="6"/>
      <c r="AH863" s="6"/>
      <c r="AI863" s="7"/>
    </row>
    <row r="864" spans="1:35" ht="15.75" thickTop="1" x14ac:dyDescent="0.25"/>
  </sheetData>
  <mergeCells count="12">
    <mergeCell ref="Q257:R257"/>
    <mergeCell ref="B6:D6"/>
    <mergeCell ref="E6:N6"/>
    <mergeCell ref="O6:AC6"/>
    <mergeCell ref="A2:AI2"/>
    <mergeCell ref="B8:N8"/>
    <mergeCell ref="A1:AI1"/>
    <mergeCell ref="A4:A5"/>
    <mergeCell ref="B4:D5"/>
    <mergeCell ref="E4:N5"/>
    <mergeCell ref="O4:AC5"/>
    <mergeCell ref="AD4:AH4"/>
  </mergeCells>
  <printOptions horizontalCentered="1"/>
  <pageMargins left="0" right="0" top="0.5" bottom="0.25" header="0.3" footer="0.3"/>
  <pageSetup paperSize="9" scale="65" orientation="landscape" horizontalDpi="1200" verticalDpi="1200" r:id="rId1"/>
  <rowBreaks count="20" manualBreakCount="20">
    <brk id="32" max="34" man="1"/>
    <brk id="86" max="34" man="1"/>
    <brk id="128" max="34" man="1"/>
    <brk id="169" max="34" man="1"/>
    <brk id="211" max="34" man="1"/>
    <brk id="262" max="34" man="1"/>
    <brk id="298" max="34" man="1"/>
    <brk id="343" max="34" man="1"/>
    <brk id="379" max="34" man="1"/>
    <brk id="415" max="34" man="1"/>
    <brk id="452" max="34" man="1"/>
    <brk id="480" max="34" man="1"/>
    <brk id="534" max="34" man="1"/>
    <brk id="582" max="34" man="1"/>
    <brk id="620" max="34" man="1"/>
    <brk id="672" max="34" man="1"/>
    <brk id="695" max="34" man="1"/>
    <brk id="738" max="34" man="1"/>
    <brk id="775" max="34" man="1"/>
    <brk id="821" max="34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DC7A-2409-4ECA-A9F1-8F5F20BC2BA6}">
  <dimension ref="B2:L484"/>
  <sheetViews>
    <sheetView showGridLines="0" zoomScaleNormal="100" workbookViewId="0">
      <selection activeCell="I26" sqref="I26"/>
    </sheetView>
  </sheetViews>
  <sheetFormatPr defaultColWidth="9.140625" defaultRowHeight="15" customHeight="1" x14ac:dyDescent="0.2"/>
  <cols>
    <col min="1" max="1" width="9.140625" style="249"/>
    <col min="2" max="2" width="7" style="104" customWidth="1"/>
    <col min="3" max="3" width="8" style="558" bestFit="1" customWidth="1"/>
    <col min="4" max="4" width="8.5703125" style="104" customWidth="1"/>
    <col min="5" max="5" width="52.7109375" style="104" customWidth="1"/>
    <col min="6" max="6" width="6.28515625" style="105" bestFit="1" customWidth="1"/>
    <col min="7" max="7" width="11.7109375" style="108" bestFit="1" customWidth="1"/>
    <col min="8" max="8" width="3.42578125" style="249" customWidth="1"/>
    <col min="9" max="9" width="10.140625" style="249" bestFit="1" customWidth="1"/>
    <col min="10" max="10" width="12.5703125" style="249" bestFit="1" customWidth="1"/>
    <col min="11" max="11" width="18" style="249" customWidth="1"/>
    <col min="12" max="16384" width="9.140625" style="249"/>
  </cols>
  <sheetData>
    <row r="2" spans="2:9" ht="15" customHeight="1" x14ac:dyDescent="0.2">
      <c r="C2" s="533"/>
      <c r="D2" s="103"/>
      <c r="E2" s="533" t="s">
        <v>1926</v>
      </c>
      <c r="F2" s="533"/>
      <c r="G2" s="103"/>
    </row>
    <row r="3" spans="2:9" ht="15" customHeight="1" x14ac:dyDescent="0.2">
      <c r="C3" s="534"/>
      <c r="D3" s="172"/>
      <c r="E3" s="534"/>
      <c r="F3" s="534"/>
      <c r="G3" s="172"/>
    </row>
    <row r="4" spans="2:9" ht="15" customHeight="1" x14ac:dyDescent="0.2">
      <c r="C4" s="534"/>
      <c r="D4" s="172"/>
      <c r="E4" s="534"/>
      <c r="F4" s="534"/>
      <c r="G4" s="172"/>
    </row>
    <row r="6" spans="2:9" ht="15" customHeight="1" thickBot="1" x14ac:dyDescent="0.25"/>
    <row r="7" spans="2:9" ht="27" customHeight="1" thickBot="1" x14ac:dyDescent="0.25">
      <c r="B7" s="525" t="s">
        <v>328</v>
      </c>
      <c r="C7" s="526" t="s">
        <v>360</v>
      </c>
      <c r="D7" s="526"/>
      <c r="E7" s="527" t="s">
        <v>1816</v>
      </c>
      <c r="F7" s="528" t="s">
        <v>330</v>
      </c>
      <c r="G7" s="529" t="s">
        <v>1817</v>
      </c>
    </row>
    <row r="8" spans="2:9" ht="15" customHeight="1" x14ac:dyDescent="0.2">
      <c r="B8" s="539"/>
      <c r="C8" s="559"/>
      <c r="D8" s="535"/>
      <c r="E8" s="535"/>
      <c r="F8" s="540"/>
      <c r="G8" s="541"/>
    </row>
    <row r="9" spans="2:9" ht="15" customHeight="1" x14ac:dyDescent="0.2">
      <c r="B9" s="542"/>
      <c r="C9" s="560" t="s">
        <v>1818</v>
      </c>
      <c r="D9" s="554" t="s">
        <v>356</v>
      </c>
      <c r="E9" s="555"/>
      <c r="F9" s="543"/>
      <c r="G9" s="532"/>
    </row>
    <row r="10" spans="2:9" ht="15" customHeight="1" x14ac:dyDescent="0.2">
      <c r="B10" s="530">
        <v>1</v>
      </c>
      <c r="C10" s="561"/>
      <c r="D10" s="536" t="s">
        <v>357</v>
      </c>
      <c r="E10" s="524" t="str">
        <f t="shared" ref="E10:E25" si="0">VLOOKUP(D10,AHSP,2,FALSE)</f>
        <v>(K3) Pembuatan 1 m2 pagar sementara dari kayu tinggi 2 meter</v>
      </c>
      <c r="F10" s="544" t="s">
        <v>82</v>
      </c>
      <c r="G10" s="532">
        <f t="shared" ref="G10:G25" si="1">VLOOKUP(D10,AHSP,9,FALSE)</f>
        <v>698740</v>
      </c>
    </row>
    <row r="11" spans="2:9" ht="15" customHeight="1" x14ac:dyDescent="0.2">
      <c r="B11" s="530">
        <f>B10+1</f>
        <v>2</v>
      </c>
      <c r="C11" s="561"/>
      <c r="D11" s="536" t="s">
        <v>396</v>
      </c>
      <c r="E11" s="524" t="str">
        <f t="shared" si="0"/>
        <v>(K3) Pembuatan 1 m2   pagar sementara dari seng gelombang tinggi 2 meter</v>
      </c>
      <c r="F11" s="544" t="s">
        <v>82</v>
      </c>
      <c r="G11" s="532">
        <f t="shared" si="1"/>
        <v>795702</v>
      </c>
      <c r="I11" s="250"/>
    </row>
    <row r="12" spans="2:9" ht="15" customHeight="1" x14ac:dyDescent="0.2">
      <c r="B12" s="530">
        <f t="shared" ref="B12:B75" si="2">B11+1</f>
        <v>3</v>
      </c>
      <c r="C12" s="561"/>
      <c r="D12" s="536" t="s">
        <v>401</v>
      </c>
      <c r="E12" s="524" t="str">
        <f t="shared" si="0"/>
        <v>Pembuatan 1 m2   pagar sementara dari kawat duri tinggi 1,8 meter</v>
      </c>
      <c r="F12" s="544" t="s">
        <v>82</v>
      </c>
      <c r="G12" s="532">
        <f t="shared" si="1"/>
        <v>814561</v>
      </c>
      <c r="I12" s="250"/>
    </row>
    <row r="13" spans="2:9" ht="15" customHeight="1" x14ac:dyDescent="0.2">
      <c r="B13" s="530">
        <f t="shared" si="2"/>
        <v>4</v>
      </c>
      <c r="C13" s="562"/>
      <c r="D13" s="536" t="s">
        <v>406</v>
      </c>
      <c r="E13" s="524" t="str">
        <f t="shared" si="0"/>
        <v>Pengukuran dan pemasangan 1 m’ Bouwplank</v>
      </c>
      <c r="F13" s="544" t="s">
        <v>82</v>
      </c>
      <c r="G13" s="532">
        <f t="shared" si="1"/>
        <v>92990</v>
      </c>
      <c r="I13" s="250"/>
    </row>
    <row r="14" spans="2:9" ht="15" customHeight="1" x14ac:dyDescent="0.2">
      <c r="B14" s="530">
        <f t="shared" si="2"/>
        <v>5</v>
      </c>
      <c r="C14" s="561"/>
      <c r="D14" s="536" t="s">
        <v>411</v>
      </c>
      <c r="E14" s="524" t="str">
        <f t="shared" si="0"/>
        <v>(K3) Pembuatan 1 m2 kantor sementara lantai plesteran</v>
      </c>
      <c r="F14" s="544" t="s">
        <v>82</v>
      </c>
      <c r="G14" s="532">
        <f t="shared" si="1"/>
        <v>2574354</v>
      </c>
      <c r="I14" s="250"/>
    </row>
    <row r="15" spans="2:9" ht="15" customHeight="1" x14ac:dyDescent="0.2">
      <c r="B15" s="530">
        <f t="shared" si="2"/>
        <v>6</v>
      </c>
      <c r="C15" s="561"/>
      <c r="D15" s="536" t="s">
        <v>424</v>
      </c>
      <c r="E15" s="524" t="str">
        <f t="shared" si="0"/>
        <v>(K3) Pembuatan 1 m2 gudang</v>
      </c>
      <c r="F15" s="544" t="s">
        <v>82</v>
      </c>
      <c r="G15" s="532">
        <f t="shared" si="1"/>
        <v>2323646</v>
      </c>
      <c r="I15" s="250"/>
    </row>
    <row r="16" spans="2:9" ht="15" customHeight="1" x14ac:dyDescent="0.2">
      <c r="B16" s="530">
        <f t="shared" si="2"/>
        <v>7</v>
      </c>
      <c r="C16" s="561"/>
      <c r="D16" s="536" t="s">
        <v>427</v>
      </c>
      <c r="E16" s="524" t="str">
        <f t="shared" si="0"/>
        <v>(K3) Pembuatan 1 m2 rumah jaga (konstruksi kayu )</v>
      </c>
      <c r="F16" s="544" t="s">
        <v>82</v>
      </c>
      <c r="G16" s="532">
        <f t="shared" si="1"/>
        <v>2704865</v>
      </c>
      <c r="I16" s="250"/>
    </row>
    <row r="17" spans="2:9" ht="15" customHeight="1" x14ac:dyDescent="0.2">
      <c r="B17" s="530">
        <f t="shared" si="2"/>
        <v>8</v>
      </c>
      <c r="C17" s="562"/>
      <c r="D17" s="536" t="s">
        <v>430</v>
      </c>
      <c r="E17" s="524" t="str">
        <f t="shared" si="0"/>
        <v>Pembersihan 1 m2 dan peralatan lapangan</v>
      </c>
      <c r="F17" s="544" t="s">
        <v>82</v>
      </c>
      <c r="G17" s="532">
        <f t="shared" si="1"/>
        <v>23100</v>
      </c>
      <c r="I17" s="250"/>
    </row>
    <row r="18" spans="2:9" ht="15" customHeight="1" x14ac:dyDescent="0.2">
      <c r="B18" s="530">
        <f t="shared" si="2"/>
        <v>9</v>
      </c>
      <c r="C18" s="561"/>
      <c r="D18" s="536" t="s">
        <v>432</v>
      </c>
      <c r="E18" s="524" t="str">
        <f t="shared" si="0"/>
        <v>(K3) Pembuatan 1 m2 bedeng pekerja</v>
      </c>
      <c r="F18" s="544" t="s">
        <v>82</v>
      </c>
      <c r="G18" s="532">
        <f t="shared" si="1"/>
        <v>2251846</v>
      </c>
      <c r="I18" s="250"/>
    </row>
    <row r="19" spans="2:9" ht="15" customHeight="1" x14ac:dyDescent="0.2">
      <c r="B19" s="530">
        <f t="shared" si="2"/>
        <v>10</v>
      </c>
      <c r="C19" s="561"/>
      <c r="D19" s="536" t="s">
        <v>434</v>
      </c>
      <c r="E19" s="524" t="str">
        <f t="shared" si="0"/>
        <v>Pembuatan 1 m2 bak adukan</v>
      </c>
      <c r="F19" s="544" t="s">
        <v>82</v>
      </c>
      <c r="G19" s="532">
        <f t="shared" si="1"/>
        <v>244258</v>
      </c>
      <c r="I19" s="250"/>
    </row>
    <row r="20" spans="2:9" ht="15" customHeight="1" x14ac:dyDescent="0.2">
      <c r="B20" s="530">
        <f t="shared" si="2"/>
        <v>11</v>
      </c>
      <c r="C20" s="561"/>
      <c r="D20" s="536" t="s">
        <v>438</v>
      </c>
      <c r="E20" s="524" t="str">
        <f t="shared" si="0"/>
        <v>Pembuatan 1 m2 perancah dari bambu s.d. tinggi 6 meter</v>
      </c>
      <c r="F20" s="544" t="s">
        <v>82</v>
      </c>
      <c r="G20" s="532">
        <f t="shared" si="1"/>
        <v>548811</v>
      </c>
      <c r="I20" s="250"/>
    </row>
    <row r="21" spans="2:9" ht="15" customHeight="1" x14ac:dyDescent="0.2">
      <c r="B21" s="530">
        <f t="shared" si="2"/>
        <v>12</v>
      </c>
      <c r="C21" s="561"/>
      <c r="D21" s="536" t="s">
        <v>442</v>
      </c>
      <c r="E21" s="524" t="str">
        <f t="shared" si="0"/>
        <v>Pembuatan 1 m2 jalan sementara</v>
      </c>
      <c r="F21" s="544" t="s">
        <v>82</v>
      </c>
      <c r="G21" s="532">
        <f t="shared" si="1"/>
        <v>251658</v>
      </c>
      <c r="I21" s="250"/>
    </row>
    <row r="22" spans="2:9" ht="15" customHeight="1" x14ac:dyDescent="0.2">
      <c r="B22" s="530">
        <f t="shared" si="2"/>
        <v>13</v>
      </c>
      <c r="C22" s="561"/>
      <c r="D22" s="536" t="s">
        <v>446</v>
      </c>
      <c r="E22" s="524" t="str">
        <f t="shared" si="0"/>
        <v>Pembongkaran 1 m3 beton bertulang</v>
      </c>
      <c r="F22" s="544" t="s">
        <v>158</v>
      </c>
      <c r="G22" s="532">
        <f t="shared" si="1"/>
        <v>331644</v>
      </c>
      <c r="I22" s="250"/>
    </row>
    <row r="23" spans="2:9" ht="15" customHeight="1" x14ac:dyDescent="0.2">
      <c r="B23" s="530">
        <f t="shared" si="2"/>
        <v>14</v>
      </c>
      <c r="C23" s="561"/>
      <c r="D23" s="536" t="s">
        <v>451</v>
      </c>
      <c r="E23" s="524" t="str">
        <f t="shared" si="0"/>
        <v>Pembongkaran 1 m3 dinding tembok bata</v>
      </c>
      <c r="F23" s="544" t="s">
        <v>158</v>
      </c>
      <c r="G23" s="532">
        <f t="shared" si="1"/>
        <v>153942</v>
      </c>
      <c r="I23" s="250"/>
    </row>
    <row r="24" spans="2:9" ht="15" customHeight="1" x14ac:dyDescent="0.2">
      <c r="B24" s="530">
        <f t="shared" si="2"/>
        <v>15</v>
      </c>
      <c r="C24" s="561"/>
      <c r="D24" s="536" t="s">
        <v>453</v>
      </c>
      <c r="E24" s="524" t="str">
        <f t="shared" si="0"/>
        <v>Pemasangan 1 m2  pagar kawat jaring galvanis panjang 240 cm</v>
      </c>
      <c r="F24" s="544" t="s">
        <v>82</v>
      </c>
      <c r="G24" s="532">
        <f t="shared" si="1"/>
        <v>35820</v>
      </c>
      <c r="I24" s="250"/>
    </row>
    <row r="25" spans="2:9" ht="15" customHeight="1" x14ac:dyDescent="0.2">
      <c r="B25" s="530">
        <f t="shared" si="2"/>
        <v>16</v>
      </c>
      <c r="C25" s="561"/>
      <c r="D25" s="536" t="s">
        <v>458</v>
      </c>
      <c r="E25" s="524" t="str">
        <f t="shared" si="0"/>
        <v>Pemasangan 1 m2 panel beton pracetak 50x50x240 cm</v>
      </c>
      <c r="F25" s="544" t="s">
        <v>82</v>
      </c>
      <c r="G25" s="532">
        <f t="shared" si="1"/>
        <v>626811</v>
      </c>
      <c r="I25" s="250"/>
    </row>
    <row r="26" spans="2:9" ht="15" customHeight="1" x14ac:dyDescent="0.2">
      <c r="B26" s="530"/>
      <c r="C26" s="561"/>
      <c r="D26" s="531"/>
      <c r="E26" s="536"/>
      <c r="F26" s="543"/>
      <c r="G26" s="532"/>
      <c r="I26" s="250"/>
    </row>
    <row r="27" spans="2:9" ht="15" customHeight="1" x14ac:dyDescent="0.2">
      <c r="B27" s="530"/>
      <c r="C27" s="563" t="s">
        <v>1819</v>
      </c>
      <c r="D27" s="556" t="s">
        <v>464</v>
      </c>
      <c r="E27" s="557"/>
      <c r="F27" s="543"/>
      <c r="G27" s="532"/>
      <c r="I27" s="250"/>
    </row>
    <row r="28" spans="2:9" ht="15" customHeight="1" x14ac:dyDescent="0.2">
      <c r="B28" s="530">
        <v>17</v>
      </c>
      <c r="C28" s="562"/>
      <c r="D28" s="536" t="s">
        <v>465</v>
      </c>
      <c r="E28" s="524" t="str">
        <f t="shared" ref="E28:E41" si="3">VLOOKUP(D28,AHSP,2,FALSE)</f>
        <v>Penggalian 1 m3 tanah biasa sedalam s.d. 1 m</v>
      </c>
      <c r="F28" s="544" t="s">
        <v>158</v>
      </c>
      <c r="G28" s="532">
        <f t="shared" ref="G28:G41" si="4">VLOOKUP(D28,AHSP,9,FALSE)</f>
        <v>107800</v>
      </c>
      <c r="I28" s="250"/>
    </row>
    <row r="29" spans="2:9" ht="15" customHeight="1" x14ac:dyDescent="0.2">
      <c r="B29" s="530">
        <f t="shared" si="2"/>
        <v>18</v>
      </c>
      <c r="C29" s="561"/>
      <c r="D29" s="536" t="s">
        <v>467</v>
      </c>
      <c r="E29" s="524" t="str">
        <f t="shared" si="3"/>
        <v>Penggalian 1 m3 tanah biasa sedalam &gt;1 s.d. 2 m</v>
      </c>
      <c r="F29" s="544" t="s">
        <v>158</v>
      </c>
      <c r="G29" s="532">
        <f t="shared" si="4"/>
        <v>132165</v>
      </c>
      <c r="I29" s="250"/>
    </row>
    <row r="30" spans="2:9" ht="15" customHeight="1" x14ac:dyDescent="0.2">
      <c r="B30" s="530">
        <f t="shared" si="2"/>
        <v>19</v>
      </c>
      <c r="C30" s="561"/>
      <c r="D30" s="536" t="s">
        <v>469</v>
      </c>
      <c r="E30" s="524" t="str">
        <f t="shared" si="3"/>
        <v>Penggalian 1 m3 tanah biasa sedalam &gt;2 s.d. 3 m</v>
      </c>
      <c r="F30" s="544" t="s">
        <v>158</v>
      </c>
      <c r="G30" s="532">
        <f t="shared" si="4"/>
        <v>156904</v>
      </c>
      <c r="I30" s="250"/>
    </row>
    <row r="31" spans="2:9" ht="15" customHeight="1" x14ac:dyDescent="0.2">
      <c r="B31" s="530">
        <f t="shared" si="2"/>
        <v>20</v>
      </c>
      <c r="C31" s="561"/>
      <c r="D31" s="536" t="s">
        <v>471</v>
      </c>
      <c r="E31" s="524" t="str">
        <f t="shared" si="3"/>
        <v>Penggalian 1 m3 tanah keras sedalam s.d. 1 m</v>
      </c>
      <c r="F31" s="544" t="s">
        <v>158</v>
      </c>
      <c r="G31" s="532">
        <f t="shared" si="4"/>
        <v>143484</v>
      </c>
      <c r="I31" s="250"/>
    </row>
    <row r="32" spans="2:9" ht="15" customHeight="1" x14ac:dyDescent="0.2">
      <c r="B32" s="530">
        <f t="shared" si="2"/>
        <v>21</v>
      </c>
      <c r="C32" s="561"/>
      <c r="D32" s="536" t="s">
        <v>473</v>
      </c>
      <c r="E32" s="524" t="str">
        <f t="shared" si="3"/>
        <v>Penggalian 1 m3  tanah cadas sedalam s.d. 1 m</v>
      </c>
      <c r="F32" s="544" t="s">
        <v>158</v>
      </c>
      <c r="G32" s="532">
        <f t="shared" si="4"/>
        <v>217470</v>
      </c>
      <c r="I32" s="250"/>
    </row>
    <row r="33" spans="2:9" ht="15" customHeight="1" x14ac:dyDescent="0.2">
      <c r="B33" s="530">
        <f t="shared" si="2"/>
        <v>22</v>
      </c>
      <c r="C33" s="561"/>
      <c r="D33" s="536" t="s">
        <v>475</v>
      </c>
      <c r="E33" s="524" t="str">
        <f t="shared" si="3"/>
        <v>Penggalian 1 m3 tanah lumpur sedalam s.d. 1 m</v>
      </c>
      <c r="F33" s="544" t="s">
        <v>158</v>
      </c>
      <c r="G33" s="532">
        <f t="shared" si="4"/>
        <v>173415</v>
      </c>
      <c r="I33" s="250"/>
    </row>
    <row r="34" spans="2:9" ht="15" customHeight="1" x14ac:dyDescent="0.2">
      <c r="B34" s="530">
        <f t="shared" si="2"/>
        <v>23</v>
      </c>
      <c r="C34" s="561"/>
      <c r="D34" s="536" t="s">
        <v>477</v>
      </c>
      <c r="E34" s="524" t="str">
        <f t="shared" si="3"/>
        <v xml:space="preserve">Pengerjaan stripping 1 m2  tanah tebing setinggi s.d. 1 meter </v>
      </c>
      <c r="F34" s="544" t="s">
        <v>82</v>
      </c>
      <c r="G34" s="532">
        <f t="shared" si="4"/>
        <v>7810</v>
      </c>
      <c r="I34" s="250"/>
    </row>
    <row r="35" spans="2:9" ht="15" customHeight="1" x14ac:dyDescent="0.2">
      <c r="B35" s="530">
        <f t="shared" si="2"/>
        <v>24</v>
      </c>
      <c r="C35" s="561"/>
      <c r="D35" s="536" t="s">
        <v>479</v>
      </c>
      <c r="E35" s="524" t="str">
        <f t="shared" si="3"/>
        <v>(K3) Pembuangan 1 m3 tanah sejauh s.d. 30 meter</v>
      </c>
      <c r="F35" s="544" t="s">
        <v>158</v>
      </c>
      <c r="G35" s="532">
        <f t="shared" si="4"/>
        <v>47245</v>
      </c>
      <c r="H35" s="251"/>
      <c r="I35" s="250"/>
    </row>
    <row r="36" spans="2:9" ht="15" customHeight="1" x14ac:dyDescent="0.2">
      <c r="B36" s="530">
        <f t="shared" si="2"/>
        <v>25</v>
      </c>
      <c r="C36" s="562"/>
      <c r="D36" s="536" t="s">
        <v>481</v>
      </c>
      <c r="E36" s="524" t="str">
        <f t="shared" si="3"/>
        <v>Pengurugan kembali 1 m3 galian tanah Tanah Biasa Sedalam 1 M</v>
      </c>
      <c r="F36" s="544" t="s">
        <v>158</v>
      </c>
      <c r="G36" s="532">
        <f t="shared" si="4"/>
        <v>39050</v>
      </c>
      <c r="I36" s="250"/>
    </row>
    <row r="37" spans="2:9" ht="15" customHeight="1" x14ac:dyDescent="0.2">
      <c r="B37" s="530">
        <f t="shared" si="2"/>
        <v>26</v>
      </c>
      <c r="C37" s="561"/>
      <c r="D37" s="536" t="s">
        <v>484</v>
      </c>
      <c r="E37" s="524" t="str">
        <f t="shared" si="3"/>
        <v>(K3) Pemadatan tanah 1 m3  tanah ( per 20 cm)</v>
      </c>
      <c r="F37" s="544" t="s">
        <v>158</v>
      </c>
      <c r="G37" s="532">
        <f t="shared" si="4"/>
        <v>78100</v>
      </c>
      <c r="I37" s="250"/>
    </row>
    <row r="38" spans="2:9" ht="15" customHeight="1" x14ac:dyDescent="0.2">
      <c r="B38" s="530">
        <f t="shared" si="2"/>
        <v>27</v>
      </c>
      <c r="C38" s="562"/>
      <c r="D38" s="536" t="s">
        <v>486</v>
      </c>
      <c r="E38" s="524" t="str">
        <f t="shared" si="3"/>
        <v>Pengurugan 1 m3 dengan pasir urug</v>
      </c>
      <c r="F38" s="544" t="s">
        <v>158</v>
      </c>
      <c r="G38" s="532">
        <f t="shared" si="4"/>
        <v>440426</v>
      </c>
      <c r="I38" s="250"/>
    </row>
    <row r="39" spans="2:9" ht="15" customHeight="1" x14ac:dyDescent="0.2">
      <c r="B39" s="530">
        <f t="shared" si="2"/>
        <v>28</v>
      </c>
      <c r="C39" s="561"/>
      <c r="D39" s="536" t="s">
        <v>490</v>
      </c>
      <c r="E39" s="524" t="str">
        <f t="shared" si="3"/>
        <v>Pemasangan 1 m3  lapisan pudel campuran 1KP:3PP:7TL</v>
      </c>
      <c r="F39" s="544" t="s">
        <v>158</v>
      </c>
      <c r="G39" s="532">
        <f t="shared" si="4"/>
        <v>418145</v>
      </c>
      <c r="I39" s="250"/>
    </row>
    <row r="40" spans="2:9" ht="15" customHeight="1" x14ac:dyDescent="0.2">
      <c r="B40" s="530">
        <f t="shared" si="2"/>
        <v>29</v>
      </c>
      <c r="C40" s="562"/>
      <c r="D40" s="536" t="s">
        <v>495</v>
      </c>
      <c r="E40" s="524" t="str">
        <f t="shared" si="3"/>
        <v>Pemasangan 1 m2  lapisan ijuk tebal 10 cm untuk bidang resapan</v>
      </c>
      <c r="F40" s="544" t="s">
        <v>82</v>
      </c>
      <c r="G40" s="532">
        <f t="shared" si="4"/>
        <v>1617330</v>
      </c>
      <c r="I40" s="250"/>
    </row>
    <row r="41" spans="2:9" ht="15" customHeight="1" x14ac:dyDescent="0.2">
      <c r="B41" s="530">
        <f t="shared" si="2"/>
        <v>30</v>
      </c>
      <c r="C41" s="562"/>
      <c r="D41" s="536" t="s">
        <v>498</v>
      </c>
      <c r="E41" s="524" t="str">
        <f t="shared" si="3"/>
        <v>Pengurugan 1 m3 dengan sirtu padat</v>
      </c>
      <c r="F41" s="544" t="s">
        <v>158</v>
      </c>
      <c r="G41" s="532">
        <f t="shared" si="4"/>
        <v>401852</v>
      </c>
      <c r="H41" s="251"/>
      <c r="I41" s="250"/>
    </row>
    <row r="42" spans="2:9" ht="15" customHeight="1" x14ac:dyDescent="0.2">
      <c r="B42" s="530"/>
      <c r="C42" s="561"/>
      <c r="D42" s="536"/>
      <c r="E42" s="531"/>
      <c r="F42" s="545"/>
      <c r="G42" s="532"/>
      <c r="I42" s="250"/>
    </row>
    <row r="43" spans="2:9" ht="15" customHeight="1" x14ac:dyDescent="0.2">
      <c r="B43" s="530"/>
      <c r="C43" s="563" t="s">
        <v>1820</v>
      </c>
      <c r="D43" s="556" t="s">
        <v>502</v>
      </c>
      <c r="E43" s="557"/>
      <c r="F43" s="543"/>
      <c r="G43" s="532"/>
      <c r="I43" s="250"/>
    </row>
    <row r="44" spans="2:9" ht="15" customHeight="1" x14ac:dyDescent="0.2">
      <c r="B44" s="530">
        <v>31</v>
      </c>
      <c r="C44" s="562"/>
      <c r="D44" s="531" t="s">
        <v>503</v>
      </c>
      <c r="E44" s="524" t="str">
        <f t="shared" ref="E44:E54" si="5">VLOOKUP(D44,AHSP,2,FALSE)</f>
        <v>Pemasangan 1 m3 pondasi batu belah campuran 1SP : 3PP</v>
      </c>
      <c r="F44" s="544" t="s">
        <v>158</v>
      </c>
      <c r="G44" s="532">
        <f t="shared" ref="G44:G54" si="6">VLOOKUP(D44,AHSP,9,FALSE)</f>
        <v>1467001</v>
      </c>
      <c r="I44" s="250"/>
    </row>
    <row r="45" spans="2:9" ht="15" customHeight="1" x14ac:dyDescent="0.2">
      <c r="B45" s="530">
        <f t="shared" si="2"/>
        <v>32</v>
      </c>
      <c r="C45" s="561"/>
      <c r="D45" s="531" t="s">
        <v>506</v>
      </c>
      <c r="E45" s="524" t="str">
        <f t="shared" si="5"/>
        <v>Pemasangan 1 m3 pondasi batu belah campuran 1SP : 4PP</v>
      </c>
      <c r="F45" s="544" t="s">
        <v>158</v>
      </c>
      <c r="G45" s="532">
        <f t="shared" si="6"/>
        <v>1396109</v>
      </c>
      <c r="I45" s="250"/>
    </row>
    <row r="46" spans="2:9" ht="15" customHeight="1" x14ac:dyDescent="0.2">
      <c r="B46" s="530">
        <f t="shared" si="2"/>
        <v>33</v>
      </c>
      <c r="C46" s="561"/>
      <c r="D46" s="531" t="s">
        <v>508</v>
      </c>
      <c r="E46" s="524" t="str">
        <f t="shared" si="5"/>
        <v>Pemasangan 1 m3 pondasi batu belah campuran 1SP : 5PP</v>
      </c>
      <c r="F46" s="544" t="s">
        <v>158</v>
      </c>
      <c r="G46" s="532">
        <f t="shared" si="6"/>
        <v>1346965</v>
      </c>
      <c r="I46" s="250"/>
    </row>
    <row r="47" spans="2:9" ht="15" customHeight="1" x14ac:dyDescent="0.2">
      <c r="B47" s="530">
        <f t="shared" si="2"/>
        <v>34</v>
      </c>
      <c r="C47" s="561"/>
      <c r="D47" s="531" t="s">
        <v>510</v>
      </c>
      <c r="E47" s="524" t="str">
        <f t="shared" si="5"/>
        <v>Pemasangan 1 m3 pondasi batu belah campuran 1SP : 6PP</v>
      </c>
      <c r="F47" s="544" t="s">
        <v>158</v>
      </c>
      <c r="G47" s="532">
        <f t="shared" si="6"/>
        <v>1312414</v>
      </c>
      <c r="I47" s="250"/>
    </row>
    <row r="48" spans="2:9" ht="15" customHeight="1" x14ac:dyDescent="0.2">
      <c r="B48" s="530">
        <f t="shared" si="2"/>
        <v>35</v>
      </c>
      <c r="C48" s="561"/>
      <c r="D48" s="531" t="s">
        <v>512</v>
      </c>
      <c r="E48" s="524" t="str">
        <f t="shared" si="5"/>
        <v>Pemasangan 1 m3 pondasi batu belah campuran 1SP : 8PP</v>
      </c>
      <c r="F48" s="544" t="s">
        <v>158</v>
      </c>
      <c r="G48" s="532">
        <f t="shared" si="6"/>
        <v>1265060</v>
      </c>
      <c r="I48" s="250"/>
    </row>
    <row r="49" spans="2:9" ht="15" customHeight="1" x14ac:dyDescent="0.2">
      <c r="B49" s="530">
        <f t="shared" si="2"/>
        <v>36</v>
      </c>
      <c r="C49" s="561"/>
      <c r="D49" s="531" t="s">
        <v>514</v>
      </c>
      <c r="E49" s="524" t="str">
        <f t="shared" si="5"/>
        <v>Pemasangan 1 m3 pondasi batu belah campuran 1SP : 1KP : 2PP</v>
      </c>
      <c r="F49" s="544" t="s">
        <v>158</v>
      </c>
      <c r="G49" s="532">
        <f t="shared" si="6"/>
        <v>1444343</v>
      </c>
      <c r="I49" s="250"/>
    </row>
    <row r="50" spans="2:9" ht="15" customHeight="1" x14ac:dyDescent="0.2">
      <c r="B50" s="530">
        <f t="shared" si="2"/>
        <v>37</v>
      </c>
      <c r="C50" s="561"/>
      <c r="D50" s="531" t="s">
        <v>516</v>
      </c>
      <c r="E50" s="524" t="str">
        <f t="shared" si="5"/>
        <v>Pemasangan 1 m3 pondasi batu belah campuran 1 SP : 3 KP : 10 PP</v>
      </c>
      <c r="F50" s="544" t="s">
        <v>158</v>
      </c>
      <c r="G50" s="532">
        <f t="shared" si="6"/>
        <v>1249960</v>
      </c>
      <c r="I50" s="250"/>
    </row>
    <row r="51" spans="2:9" ht="15" customHeight="1" x14ac:dyDescent="0.2">
      <c r="B51" s="530">
        <f t="shared" si="2"/>
        <v>38</v>
      </c>
      <c r="C51" s="561"/>
      <c r="D51" s="531" t="s">
        <v>518</v>
      </c>
      <c r="E51" s="524" t="str">
        <f t="shared" si="5"/>
        <v>Pemasangan 1 m3 pondasi batu belah campuran ¼ SP : 1 KP : 4PP</v>
      </c>
      <c r="F51" s="544" t="s">
        <v>158</v>
      </c>
      <c r="G51" s="532">
        <f t="shared" si="6"/>
        <v>1209343</v>
      </c>
      <c r="I51" s="250"/>
    </row>
    <row r="52" spans="2:9" ht="15" customHeight="1" x14ac:dyDescent="0.2">
      <c r="B52" s="530">
        <f t="shared" si="2"/>
        <v>39</v>
      </c>
      <c r="C52" s="562"/>
      <c r="D52" s="531" t="s">
        <v>520</v>
      </c>
      <c r="E52" s="524" t="str">
        <f t="shared" si="5"/>
        <v>Pemasangan 1 m3 batu kosong (anstamping)</v>
      </c>
      <c r="F52" s="544" t="s">
        <v>158</v>
      </c>
      <c r="G52" s="532">
        <f t="shared" si="6"/>
        <v>885381</v>
      </c>
      <c r="I52" s="250"/>
    </row>
    <row r="53" spans="2:9" ht="23.1" customHeight="1" x14ac:dyDescent="0.2">
      <c r="B53" s="530">
        <f t="shared" si="2"/>
        <v>40</v>
      </c>
      <c r="C53" s="561"/>
      <c r="D53" s="531" t="s">
        <v>522</v>
      </c>
      <c r="E53" s="524" t="str">
        <f t="shared" si="5"/>
        <v>(K3) Pemasangan 1 m3 pondasi siklop, 60% beton campuran 1SP : 2 PB : 3 Kr dan 40% batu belah</v>
      </c>
      <c r="F53" s="544" t="s">
        <v>158</v>
      </c>
      <c r="G53" s="532">
        <f t="shared" si="6"/>
        <v>3552398</v>
      </c>
      <c r="I53" s="250"/>
    </row>
    <row r="54" spans="2:9" ht="15" customHeight="1" x14ac:dyDescent="0.2">
      <c r="B54" s="530">
        <f t="shared" si="2"/>
        <v>41</v>
      </c>
      <c r="C54" s="561"/>
      <c r="D54" s="531" t="s">
        <v>526</v>
      </c>
      <c r="E54" s="524" t="str">
        <f t="shared" si="5"/>
        <v>Pemasangan 1 m3 pondasi sumuran, diameter 100 cm</v>
      </c>
      <c r="F54" s="544" t="s">
        <v>158</v>
      </c>
      <c r="G54" s="532">
        <f t="shared" si="6"/>
        <v>1537607</v>
      </c>
      <c r="I54" s="250"/>
    </row>
    <row r="55" spans="2:9" ht="15" customHeight="1" x14ac:dyDescent="0.2">
      <c r="B55" s="530"/>
      <c r="C55" s="561"/>
      <c r="D55" s="536"/>
      <c r="E55" s="531"/>
      <c r="F55" s="545"/>
      <c r="G55" s="532"/>
      <c r="I55" s="250"/>
    </row>
    <row r="56" spans="2:9" ht="15" customHeight="1" x14ac:dyDescent="0.2">
      <c r="B56" s="530"/>
      <c r="C56" s="563" t="s">
        <v>528</v>
      </c>
      <c r="D56" s="556" t="s">
        <v>529</v>
      </c>
      <c r="E56" s="557"/>
      <c r="F56" s="543"/>
      <c r="G56" s="532"/>
      <c r="I56" s="250"/>
    </row>
    <row r="57" spans="2:9" ht="15" customHeight="1" x14ac:dyDescent="0.2">
      <c r="B57" s="530">
        <v>42</v>
      </c>
      <c r="C57" s="561"/>
      <c r="D57" s="531" t="s">
        <v>530</v>
      </c>
      <c r="E57" s="524" t="str">
        <f t="shared" ref="E57:E93" si="7">VLOOKUP(D57,AHSP,2,FALSE)</f>
        <v>Membuat 1 m3 beton mutu f’c = 7,4 MPa (K 100)</v>
      </c>
      <c r="F57" s="544" t="s">
        <v>158</v>
      </c>
      <c r="G57" s="532">
        <f t="shared" ref="G57:G93" si="8">VLOOKUP(D57,AHSP,9,FALSE)</f>
        <v>1548761</v>
      </c>
      <c r="I57" s="250"/>
    </row>
    <row r="58" spans="2:9" ht="15" customHeight="1" x14ac:dyDescent="0.2">
      <c r="B58" s="530">
        <f t="shared" si="2"/>
        <v>43</v>
      </c>
      <c r="C58" s="561"/>
      <c r="D58" s="531" t="s">
        <v>533</v>
      </c>
      <c r="E58" s="524" t="str">
        <f t="shared" si="7"/>
        <v>Membuat 1 m3 beton mutu f’= 9,8 MPa (K 125)</v>
      </c>
      <c r="F58" s="544" t="s">
        <v>158</v>
      </c>
      <c r="G58" s="532">
        <f t="shared" si="8"/>
        <v>1603814</v>
      </c>
      <c r="I58" s="250"/>
    </row>
    <row r="59" spans="2:9" ht="15" customHeight="1" x14ac:dyDescent="0.2">
      <c r="B59" s="530">
        <f t="shared" si="2"/>
        <v>44</v>
      </c>
      <c r="C59" s="561"/>
      <c r="D59" s="531" t="s">
        <v>535</v>
      </c>
      <c r="E59" s="524" t="str">
        <f t="shared" si="7"/>
        <v>Membuat 1 m3 beton mutu f’= 12,2 MPa (K 150)</v>
      </c>
      <c r="F59" s="544" t="s">
        <v>158</v>
      </c>
      <c r="G59" s="532">
        <f t="shared" si="8"/>
        <v>1645847</v>
      </c>
      <c r="I59" s="250"/>
    </row>
    <row r="60" spans="2:9" ht="23.1" customHeight="1" x14ac:dyDescent="0.2">
      <c r="B60" s="530">
        <f t="shared" si="2"/>
        <v>45</v>
      </c>
      <c r="C60" s="561"/>
      <c r="D60" s="531" t="s">
        <v>539</v>
      </c>
      <c r="E60" s="524" t="str">
        <f t="shared" si="7"/>
        <v>Membuat 1 m3 lantai kerja beton mutu f’c = 7,4 MPa (K 100), slump (3-6) cm, w/c = 0,87</v>
      </c>
      <c r="F60" s="544" t="s">
        <v>158</v>
      </c>
      <c r="G60" s="532">
        <f t="shared" si="8"/>
        <v>1452653</v>
      </c>
      <c r="I60" s="250"/>
    </row>
    <row r="61" spans="2:9" ht="23.1" customHeight="1" x14ac:dyDescent="0.2">
      <c r="B61" s="530">
        <f t="shared" si="2"/>
        <v>46</v>
      </c>
      <c r="C61" s="561"/>
      <c r="D61" s="531" t="s">
        <v>541</v>
      </c>
      <c r="E61" s="524" t="str">
        <f t="shared" si="7"/>
        <v>Membuat 1 m3 beton mutu f’  = 14,5 MPa (K 175), slump (12 ±2) cm, w/c = 0,66</v>
      </c>
      <c r="F61" s="544" t="s">
        <v>158</v>
      </c>
      <c r="G61" s="532">
        <f t="shared" si="8"/>
        <v>1696825</v>
      </c>
      <c r="I61" s="250"/>
    </row>
    <row r="62" spans="2:9" ht="23.1" customHeight="1" x14ac:dyDescent="0.2">
      <c r="B62" s="530">
        <f t="shared" si="2"/>
        <v>47</v>
      </c>
      <c r="C62" s="561"/>
      <c r="D62" s="531" t="s">
        <v>543</v>
      </c>
      <c r="E62" s="524" t="str">
        <f t="shared" si="7"/>
        <v>Membuat 1 m3 beton mutu f’= 16,9 MPa (K 200), slump (120 ± 20) mm, w/c = 0,61</v>
      </c>
      <c r="F62" s="544" t="s">
        <v>158</v>
      </c>
      <c r="G62" s="532">
        <f t="shared" si="8"/>
        <v>1743595</v>
      </c>
      <c r="I62" s="250"/>
    </row>
    <row r="63" spans="2:9" ht="23.1" customHeight="1" x14ac:dyDescent="0.2">
      <c r="B63" s="530">
        <f t="shared" si="2"/>
        <v>48</v>
      </c>
      <c r="C63" s="561"/>
      <c r="D63" s="531" t="s">
        <v>545</v>
      </c>
      <c r="E63" s="524" t="str">
        <f t="shared" si="7"/>
        <v>Membuat 1 m3 beton mutu f’  = 19,3 MPa (K 225), slump (120 ± 20) mm, w/c = 0,58</v>
      </c>
      <c r="F63" s="544" t="s">
        <v>158</v>
      </c>
      <c r="G63" s="532">
        <f t="shared" si="8"/>
        <v>1781635</v>
      </c>
      <c r="I63" s="250"/>
    </row>
    <row r="64" spans="2:9" ht="23.1" customHeight="1" x14ac:dyDescent="0.2">
      <c r="B64" s="530">
        <f t="shared" si="2"/>
        <v>49</v>
      </c>
      <c r="C64" s="561"/>
      <c r="D64" s="531" t="s">
        <v>547</v>
      </c>
      <c r="E64" s="524" t="str">
        <f t="shared" si="7"/>
        <v>Membuat 1 m3 beton mutu f’= 21,7 MPa (K 250), slump (120 ± 20) mm, w/c = 0,56</v>
      </c>
      <c r="F64" s="544" t="s">
        <v>158</v>
      </c>
      <c r="G64" s="532">
        <f t="shared" si="8"/>
        <v>1802958</v>
      </c>
      <c r="I64" s="250"/>
    </row>
    <row r="65" spans="2:9" ht="23.1" customHeight="1" x14ac:dyDescent="0.2">
      <c r="B65" s="530">
        <f t="shared" si="2"/>
        <v>50</v>
      </c>
      <c r="C65" s="561"/>
      <c r="D65" s="531" t="s">
        <v>549</v>
      </c>
      <c r="E65" s="524" t="str">
        <f t="shared" si="7"/>
        <v>Membuat 1 m3 beton mutu f’ = 24,0 MPa (K 275), slump (120 ± 20) mm, w/c = 0,53</v>
      </c>
      <c r="F65" s="544" t="s">
        <v>158</v>
      </c>
      <c r="G65" s="532">
        <f t="shared" si="8"/>
        <v>1839898</v>
      </c>
      <c r="I65" s="250"/>
    </row>
    <row r="66" spans="2:9" ht="23.1" customHeight="1" x14ac:dyDescent="0.2">
      <c r="B66" s="530">
        <f t="shared" si="2"/>
        <v>51</v>
      </c>
      <c r="C66" s="561"/>
      <c r="D66" s="531" t="s">
        <v>551</v>
      </c>
      <c r="E66" s="524" t="str">
        <f t="shared" si="7"/>
        <v>Membuat 1 m3 beton mutu f’c = 26,4 MPa (K 300), slump (120 ± 20) mm, w/c = 0,52</v>
      </c>
      <c r="F66" s="544" t="s">
        <v>158</v>
      </c>
      <c r="G66" s="532">
        <f t="shared" si="8"/>
        <v>1851105</v>
      </c>
      <c r="I66" s="250"/>
    </row>
    <row r="67" spans="2:9" ht="23.1" customHeight="1" x14ac:dyDescent="0.2">
      <c r="B67" s="530">
        <f t="shared" si="2"/>
        <v>52</v>
      </c>
      <c r="C67" s="561"/>
      <c r="D67" s="531" t="s">
        <v>553</v>
      </c>
      <c r="E67" s="524" t="str">
        <f t="shared" si="7"/>
        <v>Membuat 1 m3 beton mutu f’c = 28,8 MPa (K 325), slump (120 ± 20) mm, w/c = 0,49</v>
      </c>
      <c r="F67" s="544" t="s">
        <v>158</v>
      </c>
      <c r="G67" s="532">
        <f t="shared" si="8"/>
        <v>1974149</v>
      </c>
      <c r="I67" s="250"/>
    </row>
    <row r="68" spans="2:9" ht="23.1" customHeight="1" x14ac:dyDescent="0.2">
      <c r="B68" s="530">
        <f t="shared" si="2"/>
        <v>53</v>
      </c>
      <c r="C68" s="561"/>
      <c r="D68" s="531" t="s">
        <v>555</v>
      </c>
      <c r="E68" s="524" t="str">
        <f t="shared" si="7"/>
        <v>Membuat 1 m3 beton mutu f’c = 31,2 MPa (K 350), slump (120 ± 20) mm, w/c = 0,48</v>
      </c>
      <c r="F68" s="544" t="s">
        <v>158</v>
      </c>
      <c r="G68" s="532">
        <f t="shared" si="8"/>
        <v>1989002</v>
      </c>
      <c r="I68" s="250"/>
    </row>
    <row r="69" spans="2:9" ht="23.1" customHeight="1" x14ac:dyDescent="0.2">
      <c r="B69" s="530">
        <f t="shared" si="2"/>
        <v>54</v>
      </c>
      <c r="C69" s="561"/>
      <c r="D69" s="531" t="s">
        <v>557</v>
      </c>
      <c r="E69" s="524" t="str">
        <f t="shared" si="7"/>
        <v>Untuk  pekerjaan  beton  pracetak  yang  bisa  diangkat 24 jam diperlukan penambahan bahan tambahan sesuai Tabel berikut:</v>
      </c>
      <c r="F69" s="544" t="s">
        <v>158</v>
      </c>
      <c r="G69" s="532">
        <f t="shared" si="8"/>
        <v>2268776</v>
      </c>
      <c r="I69" s="250"/>
    </row>
    <row r="70" spans="2:9" ht="15" customHeight="1" x14ac:dyDescent="0.2">
      <c r="B70" s="530">
        <f t="shared" si="2"/>
        <v>55</v>
      </c>
      <c r="C70" s="561"/>
      <c r="D70" s="531" t="s">
        <v>561</v>
      </c>
      <c r="E70" s="524" t="str">
        <f t="shared" si="7"/>
        <v>Membuat 1 m3 beton kedap air dengan strorox - 100</v>
      </c>
      <c r="F70" s="544" t="s">
        <v>158</v>
      </c>
      <c r="G70" s="532">
        <f t="shared" si="8"/>
        <v>1982051</v>
      </c>
      <c r="I70" s="250"/>
    </row>
    <row r="71" spans="2:9" ht="15" customHeight="1" x14ac:dyDescent="0.2">
      <c r="B71" s="530">
        <f t="shared" si="2"/>
        <v>56</v>
      </c>
      <c r="C71" s="561"/>
      <c r="D71" s="531" t="s">
        <v>564</v>
      </c>
      <c r="E71" s="524" t="str">
        <f t="shared" si="7"/>
        <v>Pemasangan 1 m’ PVC Waterstop lebar 150 mm</v>
      </c>
      <c r="F71" s="544" t="s">
        <v>127</v>
      </c>
      <c r="G71" s="532">
        <f t="shared" si="8"/>
        <v>121489</v>
      </c>
      <c r="I71" s="250"/>
    </row>
    <row r="72" spans="2:9" ht="15" customHeight="1" x14ac:dyDescent="0.2">
      <c r="B72" s="530">
        <f t="shared" si="2"/>
        <v>57</v>
      </c>
      <c r="C72" s="561"/>
      <c r="D72" s="531" t="s">
        <v>569</v>
      </c>
      <c r="E72" s="524" t="str">
        <f t="shared" si="7"/>
        <v>Pemasangan 1 m’ PVC Waterstop lebar 200 mm</v>
      </c>
      <c r="F72" s="544" t="s">
        <v>127</v>
      </c>
      <c r="G72" s="532">
        <f t="shared" si="8"/>
        <v>125543</v>
      </c>
      <c r="I72" s="250"/>
    </row>
    <row r="73" spans="2:9" ht="15" customHeight="1" x14ac:dyDescent="0.2">
      <c r="B73" s="530">
        <f t="shared" si="2"/>
        <v>58</v>
      </c>
      <c r="C73" s="561"/>
      <c r="D73" s="531" t="s">
        <v>572</v>
      </c>
      <c r="E73" s="524" t="str">
        <f t="shared" si="7"/>
        <v>Membuat 1 m’ PVC Waterstop lebar 230 mm - 320 mm</v>
      </c>
      <c r="F73" s="544" t="s">
        <v>127</v>
      </c>
      <c r="G73" s="532">
        <f t="shared" si="8"/>
        <v>156230</v>
      </c>
      <c r="I73" s="250"/>
    </row>
    <row r="74" spans="2:9" ht="15" customHeight="1" x14ac:dyDescent="0.2">
      <c r="B74" s="530">
        <f t="shared" si="2"/>
        <v>59</v>
      </c>
      <c r="C74" s="562"/>
      <c r="D74" s="531" t="s">
        <v>575</v>
      </c>
      <c r="E74" s="524" t="str">
        <f t="shared" si="7"/>
        <v>Pembesian 10 kg dengan besi polos atau besi ulir</v>
      </c>
      <c r="F74" s="544" t="s">
        <v>1821</v>
      </c>
      <c r="G74" s="532">
        <f t="shared" si="8"/>
        <v>176917</v>
      </c>
      <c r="I74" s="250"/>
    </row>
    <row r="75" spans="2:9" ht="15" customHeight="1" x14ac:dyDescent="0.2">
      <c r="B75" s="530">
        <f t="shared" si="2"/>
        <v>60</v>
      </c>
      <c r="C75" s="561"/>
      <c r="D75" s="531" t="s">
        <v>579</v>
      </c>
      <c r="E75" s="524" t="str">
        <f t="shared" si="7"/>
        <v>Pemasangan 10 kg kabel presstressed polos/strands</v>
      </c>
      <c r="F75" s="544" t="s">
        <v>1821</v>
      </c>
      <c r="G75" s="532">
        <f t="shared" si="8"/>
        <v>168818</v>
      </c>
      <c r="I75" s="250"/>
    </row>
    <row r="76" spans="2:9" ht="15" customHeight="1" x14ac:dyDescent="0.2">
      <c r="B76" s="530">
        <f t="shared" ref="B76:B139" si="9">B75+1</f>
        <v>61</v>
      </c>
      <c r="C76" s="561"/>
      <c r="D76" s="531" t="s">
        <v>581</v>
      </c>
      <c r="E76" s="524" t="str">
        <f t="shared" si="7"/>
        <v>Pemasangan 1 kg jaring kawat baja (wiremesh) M6-M8</v>
      </c>
      <c r="F76" s="544" t="s">
        <v>133</v>
      </c>
      <c r="G76" s="532">
        <f t="shared" si="8"/>
        <v>163236</v>
      </c>
      <c r="I76" s="250"/>
    </row>
    <row r="77" spans="2:9" ht="23.1" customHeight="1" x14ac:dyDescent="0.2">
      <c r="B77" s="530">
        <f t="shared" si="9"/>
        <v>62</v>
      </c>
      <c r="C77" s="561"/>
      <c r="D77" s="531" t="s">
        <v>584</v>
      </c>
      <c r="E77" s="524" t="str">
        <f t="shared" si="7"/>
        <v>(K3) Pemasangan 1 m2 bekisting untuk pondasi telapak beton bangunan gedung</v>
      </c>
      <c r="F77" s="544" t="s">
        <v>82</v>
      </c>
      <c r="G77" s="532">
        <f t="shared" si="8"/>
        <v>332015</v>
      </c>
      <c r="I77" s="250"/>
    </row>
    <row r="78" spans="2:9" ht="15" customHeight="1" x14ac:dyDescent="0.2">
      <c r="B78" s="530">
        <f t="shared" si="9"/>
        <v>63</v>
      </c>
      <c r="C78" s="562"/>
      <c r="D78" s="531" t="s">
        <v>589</v>
      </c>
      <c r="E78" s="524" t="str">
        <f t="shared" si="7"/>
        <v>(K3) Pemasangan 1 m2 bekisting untuk sloof beton bangunan gedung</v>
      </c>
      <c r="F78" s="544" t="s">
        <v>82</v>
      </c>
      <c r="G78" s="532">
        <f t="shared" si="8"/>
        <v>356765</v>
      </c>
      <c r="I78" s="250"/>
    </row>
    <row r="79" spans="2:9" ht="15" customHeight="1" x14ac:dyDescent="0.2">
      <c r="B79" s="530">
        <f t="shared" si="9"/>
        <v>64</v>
      </c>
      <c r="C79" s="562"/>
      <c r="D79" s="531" t="s">
        <v>591</v>
      </c>
      <c r="E79" s="524" t="str">
        <f t="shared" si="7"/>
        <v>(K3) Pemasangan 1 m2 bekisting untuk kolom beton bangunan gedung</v>
      </c>
      <c r="F79" s="544" t="s">
        <v>82</v>
      </c>
      <c r="G79" s="532">
        <f t="shared" si="8"/>
        <v>562765</v>
      </c>
      <c r="I79" s="250"/>
    </row>
    <row r="80" spans="2:9" ht="15" customHeight="1" x14ac:dyDescent="0.2">
      <c r="B80" s="530">
        <f t="shared" si="9"/>
        <v>65</v>
      </c>
      <c r="C80" s="562"/>
      <c r="D80" s="531" t="s">
        <v>596</v>
      </c>
      <c r="E80" s="524" t="str">
        <f t="shared" si="7"/>
        <v>(K3) Pemasangan 1 m2 bekisting untuk balok beton bangunan gedung</v>
      </c>
      <c r="F80" s="544" t="s">
        <v>82</v>
      </c>
      <c r="G80" s="532">
        <f t="shared" si="8"/>
        <v>577318</v>
      </c>
      <c r="I80" s="250"/>
    </row>
    <row r="81" spans="2:9" ht="15" customHeight="1" x14ac:dyDescent="0.2">
      <c r="B81" s="530">
        <f t="shared" si="9"/>
        <v>66</v>
      </c>
      <c r="C81" s="562"/>
      <c r="D81" s="531" t="s">
        <v>598</v>
      </c>
      <c r="E81" s="524" t="str">
        <f t="shared" si="7"/>
        <v>(K3) Pemasangan 1 m2 bekisting untuk plat lantai beton bangunan gedung</v>
      </c>
      <c r="F81" s="544" t="s">
        <v>82</v>
      </c>
      <c r="G81" s="532">
        <f t="shared" si="8"/>
        <v>700265</v>
      </c>
      <c r="I81" s="250"/>
    </row>
    <row r="82" spans="2:9" ht="15" customHeight="1" x14ac:dyDescent="0.2">
      <c r="B82" s="530">
        <f t="shared" si="9"/>
        <v>67</v>
      </c>
      <c r="C82" s="561"/>
      <c r="D82" s="531" t="s">
        <v>600</v>
      </c>
      <c r="E82" s="524" t="str">
        <f t="shared" si="7"/>
        <v>(K3) Pemasangan 1 m2 bekisting untuk dinding sheerwall</v>
      </c>
      <c r="F82" s="544" t="s">
        <v>82</v>
      </c>
      <c r="G82" s="532">
        <f t="shared" si="8"/>
        <v>681895</v>
      </c>
      <c r="I82" s="250"/>
    </row>
    <row r="83" spans="2:9" ht="15" customHeight="1" x14ac:dyDescent="0.2">
      <c r="B83" s="530">
        <f t="shared" si="9"/>
        <v>68</v>
      </c>
      <c r="C83" s="561"/>
      <c r="D83" s="531" t="s">
        <v>604</v>
      </c>
      <c r="E83" s="524" t="str">
        <f t="shared" si="7"/>
        <v>(K3) Pemasangan 1 m2 bekisting untuk tangga</v>
      </c>
      <c r="F83" s="544" t="s">
        <v>82</v>
      </c>
      <c r="G83" s="532">
        <f t="shared" si="8"/>
        <v>512863</v>
      </c>
      <c r="I83" s="250"/>
    </row>
    <row r="84" spans="2:9" ht="15" customHeight="1" x14ac:dyDescent="0.2">
      <c r="B84" s="530">
        <f t="shared" si="9"/>
        <v>69</v>
      </c>
      <c r="C84" s="561"/>
      <c r="D84" s="531" t="s">
        <v>606</v>
      </c>
      <c r="E84" s="524" t="str">
        <f t="shared" si="7"/>
        <v>Pemasangan 1 m2 jembatan untuk pengecoran beton</v>
      </c>
      <c r="F84" s="544" t="s">
        <v>82</v>
      </c>
      <c r="G84" s="532">
        <f t="shared" si="8"/>
        <v>197606</v>
      </c>
      <c r="I84" s="250"/>
    </row>
    <row r="85" spans="2:9" ht="15" customHeight="1" x14ac:dyDescent="0.2">
      <c r="B85" s="530">
        <f t="shared" si="9"/>
        <v>70</v>
      </c>
      <c r="C85" s="561"/>
      <c r="D85" s="531" t="s">
        <v>609</v>
      </c>
      <c r="E85" s="524" t="str">
        <f t="shared" si="7"/>
        <v>Membuat 1 m3 pondasi beton bertulang (150 kg besi + bekisting)</v>
      </c>
      <c r="F85" s="544" t="s">
        <v>158</v>
      </c>
      <c r="G85" s="532">
        <f t="shared" si="8"/>
        <v>6041556</v>
      </c>
      <c r="I85" s="250"/>
    </row>
    <row r="86" spans="2:9" ht="15" customHeight="1" x14ac:dyDescent="0.2">
      <c r="B86" s="530">
        <f t="shared" si="9"/>
        <v>71</v>
      </c>
      <c r="C86" s="562"/>
      <c r="D86" s="531" t="s">
        <v>614</v>
      </c>
      <c r="E86" s="524" t="str">
        <f t="shared" si="7"/>
        <v>Membuat 1 m3 sloof beton bertulang (200 kg besi + bekisting)</v>
      </c>
      <c r="F86" s="544" t="s">
        <v>158</v>
      </c>
      <c r="G86" s="532">
        <f t="shared" si="8"/>
        <v>7336880</v>
      </c>
      <c r="I86" s="250"/>
    </row>
    <row r="87" spans="2:9" ht="15" customHeight="1" x14ac:dyDescent="0.2">
      <c r="B87" s="530">
        <f t="shared" si="9"/>
        <v>72</v>
      </c>
      <c r="C87" s="561"/>
      <c r="D87" s="531" t="s">
        <v>616</v>
      </c>
      <c r="E87" s="524" t="str">
        <f t="shared" si="7"/>
        <v>Membuat 1 m3 kolom beton bertulang (300 kg besi + bekisting)</v>
      </c>
      <c r="F87" s="544" t="s">
        <v>158</v>
      </c>
      <c r="G87" s="532">
        <f t="shared" si="8"/>
        <v>12055620</v>
      </c>
      <c r="I87" s="250"/>
    </row>
    <row r="88" spans="2:9" ht="15" customHeight="1" x14ac:dyDescent="0.2">
      <c r="B88" s="530">
        <f t="shared" si="9"/>
        <v>73</v>
      </c>
      <c r="C88" s="562"/>
      <c r="D88" s="531" t="s">
        <v>619</v>
      </c>
      <c r="E88" s="524" t="str">
        <f t="shared" si="7"/>
        <v>Membuat 1 m3 balok beton bertulang (200 kg besi + bekisting)</v>
      </c>
      <c r="F88" s="544" t="s">
        <v>158</v>
      </c>
      <c r="G88" s="532">
        <f t="shared" si="8"/>
        <v>9561601</v>
      </c>
      <c r="I88" s="250"/>
    </row>
    <row r="89" spans="2:9" ht="15" customHeight="1" x14ac:dyDescent="0.2">
      <c r="B89" s="530">
        <f t="shared" si="9"/>
        <v>74</v>
      </c>
      <c r="C89" s="562"/>
      <c r="D89" s="531" t="s">
        <v>622</v>
      </c>
      <c r="E89" s="524" t="str">
        <f t="shared" si="7"/>
        <v>Membuat 1 m3 kolom beton bertulang (150 kg besi + bekisting)</v>
      </c>
      <c r="F89" s="544" t="s">
        <v>158</v>
      </c>
      <c r="G89" s="532">
        <f t="shared" si="8"/>
        <v>8939854</v>
      </c>
      <c r="I89" s="250"/>
    </row>
    <row r="90" spans="2:9" ht="15" customHeight="1" x14ac:dyDescent="0.2">
      <c r="B90" s="530">
        <f t="shared" si="9"/>
        <v>75</v>
      </c>
      <c r="C90" s="561"/>
      <c r="D90" s="531" t="s">
        <v>624</v>
      </c>
      <c r="E90" s="524" t="str">
        <f t="shared" si="7"/>
        <v>Membuat 1 m3 dinding beton bertulang (150 kg besi + bekisting)</v>
      </c>
      <c r="F90" s="544" t="s">
        <v>158</v>
      </c>
      <c r="G90" s="532">
        <f t="shared" si="8"/>
        <v>7854434</v>
      </c>
      <c r="I90" s="250"/>
    </row>
    <row r="91" spans="2:9" ht="15" customHeight="1" x14ac:dyDescent="0.2">
      <c r="B91" s="530">
        <f t="shared" si="9"/>
        <v>76</v>
      </c>
      <c r="C91" s="561"/>
      <c r="D91" s="531" t="s">
        <v>626</v>
      </c>
      <c r="E91" s="524" t="str">
        <f t="shared" si="7"/>
        <v>Membuat 1 m3 dinding beton bertulang (200 kg besi + bekisting)</v>
      </c>
      <c r="F91" s="544" t="s">
        <v>158</v>
      </c>
      <c r="G91" s="532">
        <f t="shared" si="8"/>
        <v>8761221</v>
      </c>
      <c r="I91" s="250"/>
    </row>
    <row r="92" spans="2:9" ht="15" customHeight="1" x14ac:dyDescent="0.2">
      <c r="B92" s="530">
        <f t="shared" si="9"/>
        <v>77</v>
      </c>
      <c r="C92" s="561"/>
      <c r="D92" s="531" t="s">
        <v>628</v>
      </c>
      <c r="E92" s="524" t="str">
        <f t="shared" si="7"/>
        <v>Membuat 1 m’  kolom praktis beton bertulang (11 x 11) cm</v>
      </c>
      <c r="F92" s="544" t="s">
        <v>127</v>
      </c>
      <c r="G92" s="532">
        <f t="shared" si="8"/>
        <v>129930</v>
      </c>
      <c r="I92" s="250"/>
    </row>
    <row r="93" spans="2:9" ht="15" customHeight="1" x14ac:dyDescent="0.2">
      <c r="B93" s="530">
        <f t="shared" si="9"/>
        <v>78</v>
      </c>
      <c r="C93" s="561"/>
      <c r="D93" s="531" t="s">
        <v>630</v>
      </c>
      <c r="E93" s="524" t="str">
        <f t="shared" si="7"/>
        <v>Membuat 1 m’ ring balok beton bertulang (10 x 15) cm</v>
      </c>
      <c r="F93" s="544" t="s">
        <v>127</v>
      </c>
      <c r="G93" s="532">
        <f t="shared" si="8"/>
        <v>164308</v>
      </c>
      <c r="I93" s="250"/>
    </row>
    <row r="94" spans="2:9" ht="15" customHeight="1" x14ac:dyDescent="0.2">
      <c r="B94" s="530"/>
      <c r="C94" s="561"/>
      <c r="D94" s="536"/>
      <c r="E94" s="531"/>
      <c r="F94" s="545"/>
      <c r="G94" s="532"/>
      <c r="I94" s="250"/>
    </row>
    <row r="95" spans="2:9" ht="15" customHeight="1" x14ac:dyDescent="0.2">
      <c r="B95" s="530"/>
      <c r="C95" s="563" t="s">
        <v>632</v>
      </c>
      <c r="D95" s="556" t="s">
        <v>633</v>
      </c>
      <c r="E95" s="557"/>
      <c r="F95" s="543"/>
      <c r="G95" s="532"/>
      <c r="I95" s="250"/>
    </row>
    <row r="96" spans="2:9" ht="23.1" customHeight="1" x14ac:dyDescent="0.2">
      <c r="B96" s="530">
        <f>B93+1</f>
        <v>79</v>
      </c>
      <c r="C96" s="561"/>
      <c r="D96" s="531" t="s">
        <v>634</v>
      </c>
      <c r="E96" s="524" t="str">
        <f t="shared" ref="E96:E119" si="10">VLOOKUP(D96,AHSP,2,FALSE)</f>
        <v>(K3) Pembuatan 1 m2 lahan produksi tebal 8cm beton f’c 14,5 Mpa (K 175) slump (120 ± 20) mm</v>
      </c>
      <c r="F96" s="544" t="s">
        <v>82</v>
      </c>
      <c r="G96" s="532">
        <f t="shared" ref="G96:G119" si="11">VLOOKUP(D96,AHSP,9,FALSE)</f>
        <v>135769</v>
      </c>
      <c r="I96" s="250"/>
    </row>
    <row r="97" spans="2:11" ht="23.1" customHeight="1" x14ac:dyDescent="0.2">
      <c r="B97" s="530">
        <f t="shared" si="9"/>
        <v>80</v>
      </c>
      <c r="C97" s="561"/>
      <c r="D97" s="536" t="s">
        <v>637</v>
      </c>
      <c r="E97" s="524" t="str">
        <f t="shared" si="10"/>
        <v>(K3) Pembuatan 1 m2 lahan produksi tebal 10 cm beton f’c 14,5 Mpa (K 175) slump (120 ± 20) mm</v>
      </c>
      <c r="F97" s="544" t="s">
        <v>82</v>
      </c>
      <c r="G97" s="532">
        <f t="shared" si="11"/>
        <v>169745</v>
      </c>
      <c r="I97" s="250"/>
    </row>
    <row r="98" spans="2:11" ht="23.1" customHeight="1" x14ac:dyDescent="0.2">
      <c r="B98" s="530">
        <f t="shared" si="9"/>
        <v>81</v>
      </c>
      <c r="C98" s="561"/>
      <c r="D98" s="531" t="s">
        <v>639</v>
      </c>
      <c r="E98" s="524" t="str">
        <f t="shared" si="10"/>
        <v>(K3) Pembuatan 1 m2  lahan produksi tebal 12 cm beton f’c 14,5 Mpa (K 175) slump (120 ± 20) mm</v>
      </c>
      <c r="F98" s="544" t="s">
        <v>82</v>
      </c>
      <c r="G98" s="532">
        <f t="shared" si="11"/>
        <v>189085</v>
      </c>
      <c r="I98" s="250"/>
    </row>
    <row r="99" spans="2:11" ht="23.1" customHeight="1" x14ac:dyDescent="0.2">
      <c r="B99" s="530">
        <f t="shared" si="9"/>
        <v>82</v>
      </c>
      <c r="C99" s="561"/>
      <c r="D99" s="536" t="s">
        <v>641</v>
      </c>
      <c r="E99" s="524" t="str">
        <f t="shared" si="10"/>
        <v>(K3) Pembuatan 1 m2  lahan produksi tebal 15 cm beton f’c 14,5 Mpa (K 175) slump (120 ± 20) mm</v>
      </c>
      <c r="F99" s="544" t="s">
        <v>82</v>
      </c>
      <c r="G99" s="532">
        <f t="shared" si="11"/>
        <v>254617</v>
      </c>
      <c r="I99" s="250"/>
    </row>
    <row r="100" spans="2:11" ht="15" customHeight="1" x14ac:dyDescent="0.2">
      <c r="B100" s="530">
        <f t="shared" si="9"/>
        <v>83</v>
      </c>
      <c r="C100" s="561"/>
      <c r="D100" s="531" t="s">
        <v>643</v>
      </c>
      <c r="E100" s="524" t="str">
        <f t="shared" si="10"/>
        <v>Pembuatan 1 m2  bekisting untuk plat beton pracetak ( 5 kali pakai)</v>
      </c>
      <c r="F100" s="544" t="s">
        <v>82</v>
      </c>
      <c r="G100" s="532">
        <f t="shared" si="11"/>
        <v>582125</v>
      </c>
      <c r="I100" s="250"/>
    </row>
    <row r="101" spans="2:11" ht="15" customHeight="1" x14ac:dyDescent="0.2">
      <c r="B101" s="530">
        <f t="shared" si="9"/>
        <v>84</v>
      </c>
      <c r="C101" s="561"/>
      <c r="D101" s="536" t="s">
        <v>650</v>
      </c>
      <c r="E101" s="524" t="str">
        <f t="shared" si="10"/>
        <v>Pembuatan 1 m2  bekisting untuk balok beton pracetak ( 10-12 kali pakai)</v>
      </c>
      <c r="F101" s="544" t="s">
        <v>82</v>
      </c>
      <c r="G101" s="532">
        <f t="shared" si="11"/>
        <v>54993</v>
      </c>
      <c r="I101" s="250"/>
    </row>
    <row r="102" spans="2:11" ht="15" customHeight="1" x14ac:dyDescent="0.2">
      <c r="B102" s="530">
        <f t="shared" si="9"/>
        <v>85</v>
      </c>
      <c r="C102" s="561"/>
      <c r="D102" s="531" t="s">
        <v>652</v>
      </c>
      <c r="E102" s="524" t="str">
        <f t="shared" si="10"/>
        <v>Pembuatan 1 m2  bekisting untuk kolom beton pracetak (10-12 kali pakai)</v>
      </c>
      <c r="F102" s="544" t="s">
        <v>82</v>
      </c>
      <c r="G102" s="532">
        <f t="shared" si="11"/>
        <v>52999</v>
      </c>
      <c r="I102" s="250"/>
    </row>
    <row r="103" spans="2:11" ht="15" customHeight="1" x14ac:dyDescent="0.2">
      <c r="B103" s="530">
        <f t="shared" si="9"/>
        <v>86</v>
      </c>
      <c r="C103" s="561"/>
      <c r="D103" s="536" t="s">
        <v>654</v>
      </c>
      <c r="E103" s="524" t="str">
        <f t="shared" si="10"/>
        <v>Pemasangan dan membuka bekisting 1 buah komponen plat beton pracetak</v>
      </c>
      <c r="F103" s="544" t="s">
        <v>130</v>
      </c>
      <c r="G103" s="532">
        <f t="shared" si="11"/>
        <v>11192</v>
      </c>
      <c r="I103" s="250"/>
    </row>
    <row r="104" spans="2:11" ht="23.1" customHeight="1" x14ac:dyDescent="0.2">
      <c r="B104" s="530">
        <f t="shared" si="9"/>
        <v>87</v>
      </c>
      <c r="C104" s="561"/>
      <c r="D104" s="531" t="s">
        <v>656</v>
      </c>
      <c r="E104" s="524" t="str">
        <f t="shared" si="10"/>
        <v>Pemasangan dan membuka bekisting 1 buah komponen balok beton pracetak</v>
      </c>
      <c r="F104" s="544" t="s">
        <v>130</v>
      </c>
      <c r="G104" s="532">
        <f t="shared" si="11"/>
        <v>18122</v>
      </c>
      <c r="I104" s="250"/>
    </row>
    <row r="105" spans="2:11" ht="23.1" customHeight="1" x14ac:dyDescent="0.2">
      <c r="B105" s="530">
        <f t="shared" si="9"/>
        <v>88</v>
      </c>
      <c r="C105" s="561"/>
      <c r="D105" s="536" t="s">
        <v>658</v>
      </c>
      <c r="E105" s="524" t="str">
        <f t="shared" si="10"/>
        <v>Pemasangan dan membuka bekisting 1 buah komponen Kolom beton pracetak</v>
      </c>
      <c r="F105" s="544" t="s">
        <v>130</v>
      </c>
      <c r="G105" s="532">
        <f t="shared" si="11"/>
        <v>14657</v>
      </c>
      <c r="I105" s="250"/>
    </row>
    <row r="106" spans="2:11" ht="15" customHeight="1" x14ac:dyDescent="0.2">
      <c r="B106" s="530">
        <f t="shared" si="9"/>
        <v>89</v>
      </c>
      <c r="C106" s="561"/>
      <c r="D106" s="531" t="s">
        <v>660</v>
      </c>
      <c r="E106" s="524" t="str">
        <f t="shared" si="10"/>
        <v>Penuangan/menebar beton 1 m3 untuk pelat beton pracetak</v>
      </c>
      <c r="F106" s="544" t="s">
        <v>158</v>
      </c>
      <c r="G106" s="532">
        <f t="shared" si="11"/>
        <v>90002</v>
      </c>
      <c r="I106" s="250"/>
    </row>
    <row r="107" spans="2:11" ht="15" customHeight="1" x14ac:dyDescent="0.2">
      <c r="B107" s="530">
        <f t="shared" si="9"/>
        <v>90</v>
      </c>
      <c r="C107" s="561"/>
      <c r="D107" s="536" t="s">
        <v>664</v>
      </c>
      <c r="E107" s="524" t="str">
        <f t="shared" si="10"/>
        <v>Penuangan/menebar beton 1 m3 untuk balok beton pracetak</v>
      </c>
      <c r="F107" s="544" t="s">
        <v>158</v>
      </c>
      <c r="G107" s="532">
        <f t="shared" si="11"/>
        <v>92554</v>
      </c>
      <c r="I107" s="250"/>
    </row>
    <row r="108" spans="2:11" ht="15" customHeight="1" x14ac:dyDescent="0.2">
      <c r="B108" s="530">
        <f t="shared" si="9"/>
        <v>91</v>
      </c>
      <c r="C108" s="561"/>
      <c r="D108" s="531" t="s">
        <v>666</v>
      </c>
      <c r="E108" s="524" t="str">
        <f t="shared" si="10"/>
        <v>Penuangan/menebar beton untuk 1 m3 untuk kolom beton pracetak</v>
      </c>
      <c r="F108" s="544" t="s">
        <v>158</v>
      </c>
      <c r="G108" s="532">
        <f t="shared" si="11"/>
        <v>83303</v>
      </c>
      <c r="I108" s="250"/>
    </row>
    <row r="109" spans="2:11" s="252" customFormat="1" ht="23.1" customHeight="1" x14ac:dyDescent="0.25">
      <c r="B109" s="530">
        <f t="shared" si="9"/>
        <v>92</v>
      </c>
      <c r="C109" s="561"/>
      <c r="D109" s="536" t="s">
        <v>668</v>
      </c>
      <c r="E109" s="524" t="str">
        <f t="shared" si="10"/>
        <v>Pemasangan 1 buah komponen pelat beton pracetak beserta indexks kenaikan lantai ereksi pelat hingga 24 lantai</v>
      </c>
      <c r="F109" s="544" t="s">
        <v>130</v>
      </c>
      <c r="G109" s="532">
        <f t="shared" si="11"/>
        <v>134334</v>
      </c>
      <c r="I109" s="253"/>
      <c r="J109" s="254"/>
      <c r="K109" s="255"/>
    </row>
    <row r="110" spans="2:11" s="252" customFormat="1" ht="23.1" customHeight="1" x14ac:dyDescent="0.25">
      <c r="B110" s="530">
        <f t="shared" si="9"/>
        <v>93</v>
      </c>
      <c r="C110" s="561"/>
      <c r="D110" s="531" t="s">
        <v>685</v>
      </c>
      <c r="E110" s="524" t="str">
        <f t="shared" si="10"/>
        <v>Pemasangan 1 buah komponen balok beton pracetak beserta indexks kenaikan lantai ereksi pelat hingga 24 lantai</v>
      </c>
      <c r="F110" s="544" t="s">
        <v>130</v>
      </c>
      <c r="G110" s="532">
        <f t="shared" si="11"/>
        <v>706136</v>
      </c>
      <c r="I110" s="253"/>
      <c r="J110" s="254"/>
      <c r="K110" s="255"/>
    </row>
    <row r="111" spans="2:11" s="252" customFormat="1" ht="23.1" customHeight="1" x14ac:dyDescent="0.25">
      <c r="B111" s="530">
        <f t="shared" si="9"/>
        <v>94</v>
      </c>
      <c r="C111" s="561"/>
      <c r="D111" s="536" t="s">
        <v>689</v>
      </c>
      <c r="E111" s="524" t="str">
        <f t="shared" si="10"/>
        <v>Pemasangan 1 buah komponen kolom beton pracetak beserta indexks kenaikan lantai ereksi pelat hingga 24 lantai</v>
      </c>
      <c r="F111" s="544" t="s">
        <v>130</v>
      </c>
      <c r="G111" s="532">
        <f t="shared" si="11"/>
        <v>1267350</v>
      </c>
      <c r="I111" s="253"/>
      <c r="J111" s="254"/>
      <c r="K111" s="255"/>
    </row>
    <row r="112" spans="2:11" ht="15" customHeight="1" x14ac:dyDescent="0.2">
      <c r="B112" s="530">
        <f t="shared" si="9"/>
        <v>95</v>
      </c>
      <c r="C112" s="561"/>
      <c r="D112" s="531" t="s">
        <v>693</v>
      </c>
      <c r="E112" s="524" t="str">
        <f t="shared" si="10"/>
        <v>Pemindahan 1 buah komponen untuk pelat beton pracetak ( ± 20 m)</v>
      </c>
      <c r="F112" s="544" t="s">
        <v>130</v>
      </c>
      <c r="G112" s="532">
        <f t="shared" si="11"/>
        <v>69614</v>
      </c>
      <c r="I112" s="250"/>
    </row>
    <row r="113" spans="2:9" ht="15" customHeight="1" x14ac:dyDescent="0.2">
      <c r="B113" s="530">
        <f t="shared" si="9"/>
        <v>96</v>
      </c>
      <c r="C113" s="561"/>
      <c r="D113" s="536" t="s">
        <v>699</v>
      </c>
      <c r="E113" s="524" t="str">
        <f t="shared" si="10"/>
        <v>Pemindahan 1 buah komponen untuk balok beton pracetak ( ± 20 m)</v>
      </c>
      <c r="F113" s="544" t="s">
        <v>130</v>
      </c>
      <c r="G113" s="532">
        <f t="shared" si="11"/>
        <v>69614</v>
      </c>
      <c r="I113" s="250"/>
    </row>
    <row r="114" spans="2:9" ht="15" customHeight="1" x14ac:dyDescent="0.2">
      <c r="B114" s="530">
        <f t="shared" si="9"/>
        <v>97</v>
      </c>
      <c r="C114" s="561"/>
      <c r="D114" s="531" t="s">
        <v>701</v>
      </c>
      <c r="E114" s="524" t="str">
        <f t="shared" si="10"/>
        <v>Pemindahan 1 buah komponen untuk kolom beton pracetak ( ± 20 m)</v>
      </c>
      <c r="F114" s="544" t="s">
        <v>130</v>
      </c>
      <c r="G114" s="532">
        <f t="shared" si="11"/>
        <v>69614</v>
      </c>
      <c r="I114" s="250"/>
    </row>
    <row r="115" spans="2:9" ht="15" customHeight="1" x14ac:dyDescent="0.2">
      <c r="B115" s="530">
        <f t="shared" si="9"/>
        <v>98</v>
      </c>
      <c r="C115" s="561"/>
      <c r="D115" s="536" t="s">
        <v>703</v>
      </c>
      <c r="E115" s="524" t="str">
        <f t="shared" si="10"/>
        <v>Bahan 1 m3 grouting campuran</v>
      </c>
      <c r="F115" s="544" t="s">
        <v>158</v>
      </c>
      <c r="G115" s="532">
        <f t="shared" si="11"/>
        <v>4744025</v>
      </c>
      <c r="I115" s="250"/>
    </row>
    <row r="116" spans="2:9" ht="15" customHeight="1" x14ac:dyDescent="0.2">
      <c r="B116" s="530">
        <f t="shared" si="9"/>
        <v>99</v>
      </c>
      <c r="C116" s="561"/>
      <c r="D116" s="531" t="s">
        <v>707</v>
      </c>
      <c r="E116" s="524" t="str">
        <f t="shared" si="10"/>
        <v>Bahan 1 m3 grouting tidak campuran</v>
      </c>
      <c r="F116" s="544" t="s">
        <v>158</v>
      </c>
      <c r="G116" s="532">
        <f t="shared" si="11"/>
        <v>3940200</v>
      </c>
      <c r="I116" s="250"/>
    </row>
    <row r="117" spans="2:9" ht="15" customHeight="1" x14ac:dyDescent="0.2">
      <c r="B117" s="530">
        <f t="shared" si="9"/>
        <v>100</v>
      </c>
      <c r="C117" s="561"/>
      <c r="D117" s="536" t="s">
        <v>709</v>
      </c>
      <c r="E117" s="524" t="str">
        <f t="shared" si="10"/>
        <v>Upah 1 titik pekerjaan grout paa joint beton pracetak</v>
      </c>
      <c r="F117" s="544" t="s">
        <v>1822</v>
      </c>
      <c r="G117" s="532">
        <f t="shared" si="11"/>
        <v>80905</v>
      </c>
      <c r="I117" s="250"/>
    </row>
    <row r="118" spans="2:9" ht="15" customHeight="1" x14ac:dyDescent="0.2">
      <c r="B118" s="530">
        <f t="shared" si="9"/>
        <v>101</v>
      </c>
      <c r="C118" s="561"/>
      <c r="D118" s="531" t="s">
        <v>711</v>
      </c>
      <c r="E118" s="524" t="str">
        <f t="shared" si="10"/>
        <v>Pemasangan 1 titik bekisting joint pracetak</v>
      </c>
      <c r="F118" s="544" t="s">
        <v>1822</v>
      </c>
      <c r="G118" s="532">
        <f t="shared" si="11"/>
        <v>127967</v>
      </c>
      <c r="I118" s="250"/>
    </row>
    <row r="119" spans="2:9" ht="15" customHeight="1" x14ac:dyDescent="0.2">
      <c r="B119" s="530">
        <f t="shared" si="9"/>
        <v>102</v>
      </c>
      <c r="C119" s="561"/>
      <c r="D119" s="536" t="s">
        <v>713</v>
      </c>
      <c r="E119" s="524" t="str">
        <f t="shared" si="10"/>
        <v>Upah  1 titik Join dengan Sling</v>
      </c>
      <c r="F119" s="544" t="s">
        <v>1822</v>
      </c>
      <c r="G119" s="532">
        <f t="shared" si="11"/>
        <v>104907</v>
      </c>
      <c r="I119" s="250"/>
    </row>
    <row r="120" spans="2:9" ht="15" customHeight="1" x14ac:dyDescent="0.2">
      <c r="B120" s="530"/>
      <c r="C120" s="561"/>
      <c r="D120" s="531"/>
      <c r="E120" s="531"/>
      <c r="F120" s="545"/>
      <c r="G120" s="532"/>
      <c r="I120" s="250"/>
    </row>
    <row r="121" spans="2:9" ht="15" customHeight="1" x14ac:dyDescent="0.2">
      <c r="B121" s="530"/>
      <c r="C121" s="563" t="s">
        <v>715</v>
      </c>
      <c r="D121" s="556" t="s">
        <v>716</v>
      </c>
      <c r="E121" s="557"/>
      <c r="F121" s="543"/>
      <c r="G121" s="532"/>
      <c r="I121" s="250"/>
    </row>
    <row r="122" spans="2:9" ht="15" customHeight="1" x14ac:dyDescent="0.2">
      <c r="B122" s="530">
        <f>B119+1</f>
        <v>103</v>
      </c>
      <c r="C122" s="561"/>
      <c r="D122" s="531" t="s">
        <v>717</v>
      </c>
      <c r="E122" s="524" t="str">
        <f t="shared" ref="E122:E146" si="12">VLOOKUP(D122,AHSP,2,FALSE)</f>
        <v>Pemasangan 1 kg besi profil</v>
      </c>
      <c r="F122" s="544" t="s">
        <v>133</v>
      </c>
      <c r="G122" s="532">
        <f t="shared" ref="G122:G146" si="13">VLOOKUP(D122,AHSP,9,FALSE)</f>
        <v>44277</v>
      </c>
      <c r="I122" s="250"/>
    </row>
    <row r="123" spans="2:9" ht="15" customHeight="1" x14ac:dyDescent="0.2">
      <c r="B123" s="530">
        <f t="shared" si="9"/>
        <v>104</v>
      </c>
      <c r="C123" s="561"/>
      <c r="D123" s="531" t="s">
        <v>722</v>
      </c>
      <c r="E123" s="524" t="str">
        <f t="shared" si="12"/>
        <v>Pemasangan 1 kg rangka kuda-kuda baja IWF</v>
      </c>
      <c r="F123" s="544" t="s">
        <v>133</v>
      </c>
      <c r="G123" s="532">
        <f t="shared" si="13"/>
        <v>32133</v>
      </c>
      <c r="I123" s="250"/>
    </row>
    <row r="124" spans="2:9" ht="15" customHeight="1" x14ac:dyDescent="0.2">
      <c r="B124" s="530">
        <f t="shared" si="9"/>
        <v>105</v>
      </c>
      <c r="C124" s="561"/>
      <c r="D124" s="531" t="s">
        <v>725</v>
      </c>
      <c r="E124" s="524" t="str">
        <f t="shared" si="12"/>
        <v>Pengerjaan 100 kg pekerjaan perakitan</v>
      </c>
      <c r="F124" s="544" t="s">
        <v>133</v>
      </c>
      <c r="G124" s="532">
        <f t="shared" si="13"/>
        <v>44324</v>
      </c>
      <c r="I124" s="250"/>
    </row>
    <row r="125" spans="2:9" ht="15" customHeight="1" x14ac:dyDescent="0.2">
      <c r="B125" s="530">
        <f t="shared" si="9"/>
        <v>106</v>
      </c>
      <c r="C125" s="561"/>
      <c r="D125" s="531" t="s">
        <v>732</v>
      </c>
      <c r="E125" s="524" t="str">
        <f t="shared" si="12"/>
        <v>Pembuatan 1 m2 pintu besi plat baja tebal 2 mm rangkap, rangka baja siku</v>
      </c>
      <c r="F125" s="544" t="s">
        <v>82</v>
      </c>
      <c r="G125" s="532">
        <f t="shared" si="13"/>
        <v>1051403</v>
      </c>
      <c r="I125" s="250"/>
    </row>
    <row r="126" spans="2:9" ht="15" customHeight="1" x14ac:dyDescent="0.2">
      <c r="B126" s="530">
        <f t="shared" si="9"/>
        <v>107</v>
      </c>
      <c r="C126" s="561"/>
      <c r="D126" s="531" t="s">
        <v>739</v>
      </c>
      <c r="E126" s="524" t="str">
        <f t="shared" si="12"/>
        <v>Pengerjaan 10 cm pengelasan dengan las listrik</v>
      </c>
      <c r="F126" s="544" t="s">
        <v>1823</v>
      </c>
      <c r="G126" s="532">
        <f t="shared" si="13"/>
        <v>65766</v>
      </c>
      <c r="I126" s="250"/>
    </row>
    <row r="127" spans="2:9" ht="15" customHeight="1" x14ac:dyDescent="0.2">
      <c r="B127" s="530">
        <f t="shared" si="9"/>
        <v>108</v>
      </c>
      <c r="C127" s="561"/>
      <c r="D127" s="531" t="s">
        <v>743</v>
      </c>
      <c r="E127" s="524" t="str">
        <f t="shared" si="12"/>
        <v>Pembuatan 1 m2 rangka jendela besi scuare tube (25 x 5) cm</v>
      </c>
      <c r="F127" s="544" t="s">
        <v>82</v>
      </c>
      <c r="G127" s="532">
        <f t="shared" si="13"/>
        <v>1976831</v>
      </c>
      <c r="I127" s="250"/>
    </row>
    <row r="128" spans="2:9" ht="15" customHeight="1" x14ac:dyDescent="0.2">
      <c r="B128" s="530">
        <f t="shared" si="9"/>
        <v>109</v>
      </c>
      <c r="C128" s="561"/>
      <c r="D128" s="531" t="s">
        <v>749</v>
      </c>
      <c r="E128" s="524" t="str">
        <f t="shared" si="12"/>
        <v>Pemasangan 1 m2 pintu rolling door besi</v>
      </c>
      <c r="F128" s="544" t="s">
        <v>82</v>
      </c>
      <c r="G128" s="532">
        <f t="shared" si="13"/>
        <v>1130052</v>
      </c>
      <c r="I128" s="250"/>
    </row>
    <row r="129" spans="2:9" ht="15" customHeight="1" x14ac:dyDescent="0.2">
      <c r="B129" s="530">
        <f t="shared" si="9"/>
        <v>110</v>
      </c>
      <c r="C129" s="561"/>
      <c r="D129" s="531" t="s">
        <v>752</v>
      </c>
      <c r="E129" s="524" t="str">
        <f t="shared" si="12"/>
        <v>Pemasangan 1 m2 pintu lipat (folding door) bahan plastik/PVC</v>
      </c>
      <c r="F129" s="544" t="s">
        <v>82</v>
      </c>
      <c r="G129" s="532">
        <f t="shared" si="13"/>
        <v>838200</v>
      </c>
      <c r="I129" s="250"/>
    </row>
    <row r="130" spans="2:9" ht="15" customHeight="1" x14ac:dyDescent="0.2">
      <c r="B130" s="530">
        <f t="shared" si="9"/>
        <v>111</v>
      </c>
      <c r="C130" s="561"/>
      <c r="D130" s="531" t="s">
        <v>755</v>
      </c>
      <c r="E130" s="524" t="str">
        <f t="shared" si="12"/>
        <v>Pemasangan 1 m2 sunscreen alluminium</v>
      </c>
      <c r="F130" s="544" t="s">
        <v>82</v>
      </c>
      <c r="G130" s="532">
        <f t="shared" si="13"/>
        <v>480018</v>
      </c>
      <c r="I130" s="250"/>
    </row>
    <row r="131" spans="2:9" ht="15" customHeight="1" x14ac:dyDescent="0.2">
      <c r="B131" s="530">
        <f t="shared" si="9"/>
        <v>112</v>
      </c>
      <c r="C131" s="561"/>
      <c r="D131" s="531" t="s">
        <v>758</v>
      </c>
      <c r="E131" s="524" t="str">
        <f t="shared" si="12"/>
        <v>Pemasangan 1 m2 rolling door alluminium</v>
      </c>
      <c r="F131" s="544" t="s">
        <v>82</v>
      </c>
      <c r="G131" s="532">
        <f t="shared" si="13"/>
        <v>999240</v>
      </c>
      <c r="I131" s="250"/>
    </row>
    <row r="132" spans="2:9" ht="15" customHeight="1" x14ac:dyDescent="0.2">
      <c r="B132" s="530">
        <f t="shared" si="9"/>
        <v>113</v>
      </c>
      <c r="C132" s="561"/>
      <c r="D132" s="531" t="s">
        <v>763</v>
      </c>
      <c r="E132" s="524" t="str">
        <f t="shared" si="12"/>
        <v>Pemasangan 1 m kusen pintu alluminium</v>
      </c>
      <c r="F132" s="544" t="s">
        <v>82</v>
      </c>
      <c r="G132" s="532">
        <f t="shared" si="13"/>
        <v>41790</v>
      </c>
      <c r="I132" s="250"/>
    </row>
    <row r="133" spans="2:9" ht="15" customHeight="1" x14ac:dyDescent="0.2">
      <c r="B133" s="530">
        <f t="shared" si="9"/>
        <v>114</v>
      </c>
      <c r="C133" s="561"/>
      <c r="D133" s="531" t="s">
        <v>769</v>
      </c>
      <c r="E133" s="524" t="str">
        <f t="shared" si="12"/>
        <v>Pemasangan 1 m2   pintu alluminium strip lebar 8 cm</v>
      </c>
      <c r="F133" s="544" t="s">
        <v>82</v>
      </c>
      <c r="G133" s="532">
        <f t="shared" si="13"/>
        <v>589456</v>
      </c>
      <c r="I133" s="250"/>
    </row>
    <row r="134" spans="2:9" ht="15" customHeight="1" x14ac:dyDescent="0.2">
      <c r="B134" s="530">
        <f t="shared" si="9"/>
        <v>115</v>
      </c>
      <c r="C134" s="561"/>
      <c r="D134" s="531" t="s">
        <v>772</v>
      </c>
      <c r="E134" s="524" t="str">
        <f t="shared" si="12"/>
        <v>Pemasangan 1 m2   pintu kaca rangka alluminium</v>
      </c>
      <c r="F134" s="544" t="s">
        <v>82</v>
      </c>
      <c r="G134" s="532">
        <f t="shared" si="13"/>
        <v>1746426</v>
      </c>
      <c r="I134" s="250"/>
    </row>
    <row r="135" spans="2:9" ht="15" customHeight="1" x14ac:dyDescent="0.2">
      <c r="B135" s="530">
        <f t="shared" si="9"/>
        <v>116</v>
      </c>
      <c r="C135" s="561"/>
      <c r="D135" s="531" t="s">
        <v>776</v>
      </c>
      <c r="E135" s="524" t="str">
        <f t="shared" si="12"/>
        <v>Pemasangan 1 m2   venetions blinds dan Vertical blinds</v>
      </c>
      <c r="F135" s="544" t="s">
        <v>82</v>
      </c>
      <c r="G135" s="532">
        <f t="shared" si="13"/>
        <v>220368</v>
      </c>
      <c r="I135" s="250"/>
    </row>
    <row r="136" spans="2:9" ht="15" customHeight="1" x14ac:dyDescent="0.2">
      <c r="B136" s="530">
        <f t="shared" si="9"/>
        <v>117</v>
      </c>
      <c r="C136" s="561"/>
      <c r="D136" s="531" t="s">
        <v>779</v>
      </c>
      <c r="E136" s="524" t="str">
        <f t="shared" si="12"/>
        <v>Pemasangan 1 m2   terali besi strip (2 x 3) mm</v>
      </c>
      <c r="F136" s="544" t="s">
        <v>82</v>
      </c>
      <c r="G136" s="532">
        <f t="shared" si="13"/>
        <v>2416905</v>
      </c>
      <c r="I136" s="250"/>
    </row>
    <row r="137" spans="2:9" ht="15" customHeight="1" x14ac:dyDescent="0.2">
      <c r="B137" s="530">
        <f t="shared" si="9"/>
        <v>118</v>
      </c>
      <c r="C137" s="561"/>
      <c r="D137" s="531" t="s">
        <v>781</v>
      </c>
      <c r="E137" s="524" t="str">
        <f t="shared" si="12"/>
        <v>Pemasangan 1 m2   kawat nyamuk</v>
      </c>
      <c r="F137" s="544" t="s">
        <v>82</v>
      </c>
      <c r="G137" s="532">
        <f t="shared" si="13"/>
        <v>807692</v>
      </c>
      <c r="I137" s="250"/>
    </row>
    <row r="138" spans="2:9" ht="15" customHeight="1" x14ac:dyDescent="0.2">
      <c r="B138" s="530">
        <f t="shared" si="9"/>
        <v>119</v>
      </c>
      <c r="C138" s="561"/>
      <c r="D138" s="531" t="s">
        <v>785</v>
      </c>
      <c r="E138" s="524" t="str">
        <f t="shared" si="12"/>
        <v>Pemasangan 1 m2   jendela nako &amp; tralis</v>
      </c>
      <c r="F138" s="544" t="s">
        <v>82</v>
      </c>
      <c r="G138" s="532">
        <f t="shared" si="13"/>
        <v>247670</v>
      </c>
      <c r="I138" s="250"/>
    </row>
    <row r="139" spans="2:9" ht="15" customHeight="1" x14ac:dyDescent="0.2">
      <c r="B139" s="530">
        <f t="shared" si="9"/>
        <v>120</v>
      </c>
      <c r="C139" s="561"/>
      <c r="D139" s="531" t="s">
        <v>789</v>
      </c>
      <c r="E139" s="524" t="str">
        <f t="shared" si="12"/>
        <v>Pemasangan 1 m’ talang datar/ jurai seng bjls 28 lebar 90 cm</v>
      </c>
      <c r="F139" s="544" t="s">
        <v>127</v>
      </c>
      <c r="G139" s="532">
        <f t="shared" si="13"/>
        <v>192868</v>
      </c>
      <c r="I139" s="250"/>
    </row>
    <row r="140" spans="2:9" s="252" customFormat="1" ht="23.1" customHeight="1" x14ac:dyDescent="0.25">
      <c r="B140" s="530">
        <f t="shared" ref="B140:B203" si="14">B139+1</f>
        <v>121</v>
      </c>
      <c r="C140" s="561"/>
      <c r="D140" s="531" t="s">
        <v>792</v>
      </c>
      <c r="E140" s="524" t="str">
        <f t="shared" si="12"/>
        <v>Pemasangan 1 m  talang ½ lingkaran  D-15 cm, seng plat bjls 30 lebar 45 cm</v>
      </c>
      <c r="F140" s="544" t="s">
        <v>127</v>
      </c>
      <c r="G140" s="532">
        <f t="shared" si="13"/>
        <v>122363</v>
      </c>
      <c r="I140" s="253"/>
    </row>
    <row r="141" spans="2:9" s="252" customFormat="1" ht="23.1" customHeight="1" x14ac:dyDescent="0.25">
      <c r="B141" s="530">
        <f t="shared" si="14"/>
        <v>122</v>
      </c>
      <c r="C141" s="561"/>
      <c r="D141" s="531" t="s">
        <v>794</v>
      </c>
      <c r="E141" s="524" t="str">
        <f t="shared" si="12"/>
        <v>Pemasangan 1 m2 rangka besi hollow 1x40.40.2mm, modul 60 x 120 cm, dinding partisi</v>
      </c>
      <c r="F141" s="544" t="s">
        <v>82</v>
      </c>
      <c r="G141" s="532">
        <f t="shared" si="13"/>
        <v>358968</v>
      </c>
      <c r="I141" s="253"/>
    </row>
    <row r="142" spans="2:9" s="252" customFormat="1" ht="23.1" customHeight="1" x14ac:dyDescent="0.25">
      <c r="B142" s="530">
        <f t="shared" si="14"/>
        <v>123</v>
      </c>
      <c r="C142" s="562"/>
      <c r="D142" s="531" t="s">
        <v>800</v>
      </c>
      <c r="E142" s="524" t="str">
        <f t="shared" si="12"/>
        <v>Pemasangan 1 m2  rangka besi hollow 1x40.40.2mm, modul 60 x 60 cm, plafon</v>
      </c>
      <c r="F142" s="544" t="s">
        <v>82</v>
      </c>
      <c r="G142" s="532">
        <f t="shared" si="13"/>
        <v>423593</v>
      </c>
      <c r="I142" s="253"/>
    </row>
    <row r="143" spans="2:9" s="252" customFormat="1" ht="23.1" customHeight="1" x14ac:dyDescent="0.25">
      <c r="B143" s="530">
        <f t="shared" si="14"/>
        <v>124</v>
      </c>
      <c r="C143" s="561"/>
      <c r="D143" s="531" t="s">
        <v>802</v>
      </c>
      <c r="E143" s="524" t="str">
        <f t="shared" si="12"/>
        <v xml:space="preserve">(K3) Pemasangan 1 m2  atap pelana rangka atap baja canai dingin profil C75 </v>
      </c>
      <c r="F143" s="544" t="s">
        <v>82</v>
      </c>
      <c r="G143" s="532">
        <f t="shared" si="13"/>
        <v>434689</v>
      </c>
      <c r="I143" s="253"/>
    </row>
    <row r="144" spans="2:9" s="252" customFormat="1" ht="15" customHeight="1" x14ac:dyDescent="0.25">
      <c r="B144" s="530">
        <f t="shared" si="14"/>
        <v>125</v>
      </c>
      <c r="C144" s="561"/>
      <c r="D144" s="531" t="s">
        <v>806</v>
      </c>
      <c r="E144" s="524" t="str">
        <f t="shared" si="12"/>
        <v xml:space="preserve">(K3) Pemasangan 1 m2  atap jurai rangka atap baja canai dingin profil C75 </v>
      </c>
      <c r="F144" s="544" t="s">
        <v>82</v>
      </c>
      <c r="G144" s="532">
        <f t="shared" si="13"/>
        <v>417619</v>
      </c>
      <c r="I144" s="253"/>
    </row>
    <row r="145" spans="2:11" s="252" customFormat="1" ht="23.1" customHeight="1" x14ac:dyDescent="0.25">
      <c r="B145" s="530">
        <f t="shared" si="14"/>
        <v>126</v>
      </c>
      <c r="C145" s="562"/>
      <c r="D145" s="531" t="s">
        <v>808</v>
      </c>
      <c r="E145" s="524" t="str">
        <f t="shared" si="12"/>
        <v>Pemasangan 1 M2 pasang kuda-kuda baja ringan serta reng untuk atap genteng biasa/metal</v>
      </c>
      <c r="F145" s="544" t="s">
        <v>82</v>
      </c>
      <c r="G145" s="532">
        <f t="shared" si="13"/>
        <v>396201</v>
      </c>
      <c r="I145" s="253"/>
      <c r="J145" s="254"/>
      <c r="K145" s="255"/>
    </row>
    <row r="146" spans="2:11" ht="15" customHeight="1" x14ac:dyDescent="0.2">
      <c r="B146" s="530">
        <f t="shared" si="14"/>
        <v>127</v>
      </c>
      <c r="C146" s="561"/>
      <c r="D146" s="531" t="s">
        <v>813</v>
      </c>
      <c r="E146" s="524" t="str">
        <f t="shared" si="12"/>
        <v>Pemasangan 1 m2 venetians blinds dan vertical blinds</v>
      </c>
      <c r="F146" s="544" t="s">
        <v>82</v>
      </c>
      <c r="G146" s="532">
        <f t="shared" si="13"/>
        <v>220368</v>
      </c>
      <c r="I146" s="250"/>
    </row>
    <row r="147" spans="2:11" ht="15" customHeight="1" x14ac:dyDescent="0.2">
      <c r="B147" s="530"/>
      <c r="C147" s="561"/>
      <c r="D147" s="536"/>
      <c r="E147" s="531"/>
      <c r="F147" s="545"/>
      <c r="G147" s="532"/>
      <c r="I147" s="250"/>
    </row>
    <row r="148" spans="2:11" ht="15" customHeight="1" x14ac:dyDescent="0.2">
      <c r="B148" s="530"/>
      <c r="C148" s="561" t="s">
        <v>817</v>
      </c>
      <c r="D148" s="531" t="s">
        <v>818</v>
      </c>
      <c r="E148" s="536"/>
      <c r="F148" s="543"/>
      <c r="G148" s="532"/>
      <c r="I148" s="250"/>
    </row>
    <row r="149" spans="2:11" s="252" customFormat="1" ht="25.5" customHeight="1" x14ac:dyDescent="0.25">
      <c r="B149" s="530">
        <f>B146+1</f>
        <v>128</v>
      </c>
      <c r="C149" s="561"/>
      <c r="D149" s="531" t="s">
        <v>819</v>
      </c>
      <c r="E149" s="524" t="str">
        <f t="shared" ref="E149:E174" si="15">VLOOKUP(D149,AHSP,2,FALSE)</f>
        <v>Pemasangan 1m2 dinding bata merah (5x11x22) cm tebal 1 batu dengan mortar tipe m, fc' 17,2 Mpa (setara campuran  1 SP : 2 PP)</v>
      </c>
      <c r="F149" s="544" t="s">
        <v>82</v>
      </c>
      <c r="G149" s="532">
        <f t="shared" ref="G149:G174" si="16">VLOOKUP(D149,AHSP,9,FALSE)</f>
        <v>397166</v>
      </c>
      <c r="I149" s="253"/>
    </row>
    <row r="150" spans="2:11" s="252" customFormat="1" ht="25.5" customHeight="1" x14ac:dyDescent="0.25">
      <c r="B150" s="530">
        <f t="shared" si="14"/>
        <v>129</v>
      </c>
      <c r="C150" s="561"/>
      <c r="D150" s="531" t="s">
        <v>821</v>
      </c>
      <c r="E150" s="524" t="str">
        <f t="shared" si="15"/>
        <v>Pemasangan 1m2 dinding bata merah (5x11x22) cm tebal 1 batu dengan mortar tipe s, fc' 12,5 Mpa (setara campuran  1 SP : 3 PP)</v>
      </c>
      <c r="F150" s="544" t="s">
        <v>82</v>
      </c>
      <c r="G150" s="532">
        <f t="shared" si="16"/>
        <v>378416</v>
      </c>
      <c r="I150" s="253"/>
    </row>
    <row r="151" spans="2:11" s="252" customFormat="1" ht="25.5" customHeight="1" x14ac:dyDescent="0.25">
      <c r="B151" s="530">
        <f t="shared" si="14"/>
        <v>130</v>
      </c>
      <c r="C151" s="561"/>
      <c r="D151" s="531" t="s">
        <v>823</v>
      </c>
      <c r="E151" s="524" t="str">
        <f t="shared" si="15"/>
        <v>Pemasangan 1m2 dinding bata merah (5x11x22) cm tebal 1 batu dengan mortar tipe n, fc' 5,2 Mpa (setara campuran  1 SP : 4 PP)</v>
      </c>
      <c r="F151" s="544" t="s">
        <v>82</v>
      </c>
      <c r="G151" s="532">
        <f t="shared" si="16"/>
        <v>365739</v>
      </c>
      <c r="I151" s="253"/>
    </row>
    <row r="152" spans="2:11" s="252" customFormat="1" ht="25.5" customHeight="1" x14ac:dyDescent="0.25">
      <c r="B152" s="530">
        <f t="shared" si="14"/>
        <v>131</v>
      </c>
      <c r="C152" s="561"/>
      <c r="D152" s="531" t="s">
        <v>825</v>
      </c>
      <c r="E152" s="524" t="str">
        <f t="shared" si="15"/>
        <v>Pemasangan 1m2 dinding bata merah (5x11x22) cm tebal 1 batu dengan mortar tipe o, fc' 2,4 Mpa (setara campuran  1 SP : 5 PP)</v>
      </c>
      <c r="F152" s="544" t="s">
        <v>82</v>
      </c>
      <c r="G152" s="532">
        <f t="shared" si="16"/>
        <v>359253</v>
      </c>
      <c r="I152" s="253"/>
    </row>
    <row r="153" spans="2:11" s="252" customFormat="1" ht="16.5" customHeight="1" x14ac:dyDescent="0.25">
      <c r="B153" s="530">
        <f t="shared" si="14"/>
        <v>132</v>
      </c>
      <c r="C153" s="561"/>
      <c r="D153" s="531" t="s">
        <v>827</v>
      </c>
      <c r="E153" s="524" t="str">
        <f t="shared" si="15"/>
        <v>Pemasangan 1m2 dinding bata merah (5x11x22) cm tebal 1 batu  campuran  1 SP : 6 PP</v>
      </c>
      <c r="F153" s="544" t="s">
        <v>82</v>
      </c>
      <c r="G153" s="532">
        <f t="shared" si="16"/>
        <v>357179</v>
      </c>
      <c r="I153" s="253"/>
    </row>
    <row r="154" spans="2:11" s="252" customFormat="1" ht="23.1" customHeight="1" x14ac:dyDescent="0.25">
      <c r="B154" s="530">
        <f t="shared" si="14"/>
        <v>133</v>
      </c>
      <c r="C154" s="561"/>
      <c r="D154" s="531" t="s">
        <v>829</v>
      </c>
      <c r="E154" s="524" t="str">
        <f t="shared" si="15"/>
        <v>Pemasangan 1m2  dinding bata merah (5x11x22) cm tebal 1 batu campuran 1SP : 3KP : 10PP</v>
      </c>
      <c r="F154" s="544" t="s">
        <v>82</v>
      </c>
      <c r="G154" s="532">
        <f t="shared" si="16"/>
        <v>345120</v>
      </c>
      <c r="I154" s="253"/>
    </row>
    <row r="155" spans="2:11" s="252" customFormat="1" ht="25.5" customHeight="1" x14ac:dyDescent="0.25">
      <c r="B155" s="530">
        <f t="shared" si="14"/>
        <v>134</v>
      </c>
      <c r="C155" s="561"/>
      <c r="D155" s="531" t="s">
        <v>831</v>
      </c>
      <c r="E155" s="524" t="str">
        <f t="shared" si="15"/>
        <v>Pemasangan 1m2 Dinding Bata Merah (5x11x22) cm Tebal ½ Batu dengan Mortar tipe m,fc’ 17,2 Mpa ( Setara Campuran 1SP : 2PP)</v>
      </c>
      <c r="F155" s="544" t="s">
        <v>82</v>
      </c>
      <c r="G155" s="532">
        <f t="shared" si="16"/>
        <v>192235</v>
      </c>
      <c r="I155" s="253"/>
    </row>
    <row r="156" spans="2:11" s="252" customFormat="1" ht="25.5" customHeight="1" x14ac:dyDescent="0.25">
      <c r="B156" s="530">
        <f t="shared" si="14"/>
        <v>135</v>
      </c>
      <c r="C156" s="561"/>
      <c r="D156" s="531" t="s">
        <v>833</v>
      </c>
      <c r="E156" s="524" t="str">
        <f t="shared" si="15"/>
        <v>Pemasangan 1m2 Dinding Bata Merah (5x11x22) cm Tebal ½ Batu dengan Mortar tipe s,fc’ 12,5 Mpa (setara campuran  1 SP : 3 PP)</v>
      </c>
      <c r="F156" s="544" t="s">
        <v>82</v>
      </c>
      <c r="G156" s="532">
        <f t="shared" si="16"/>
        <v>183321</v>
      </c>
      <c r="I156" s="253"/>
    </row>
    <row r="157" spans="2:11" s="252" customFormat="1" ht="25.5" customHeight="1" x14ac:dyDescent="0.25">
      <c r="B157" s="530">
        <f t="shared" si="14"/>
        <v>136</v>
      </c>
      <c r="C157" s="562"/>
      <c r="D157" s="531" t="s">
        <v>835</v>
      </c>
      <c r="E157" s="524" t="str">
        <f t="shared" si="15"/>
        <v>Pemasangan 1m2 Dinding Bata Merah (5x11x22) cm Tebal ½ Batu dengan Mortar tipe n,fc’ 5,2 Mpa (setara campuran  1 SP : 4 PP)</v>
      </c>
      <c r="F157" s="544" t="s">
        <v>82</v>
      </c>
      <c r="G157" s="532">
        <f t="shared" si="16"/>
        <v>178223</v>
      </c>
      <c r="I157" s="253"/>
    </row>
    <row r="158" spans="2:11" s="252" customFormat="1" ht="25.5" customHeight="1" x14ac:dyDescent="0.25">
      <c r="B158" s="530">
        <f t="shared" si="14"/>
        <v>137</v>
      </c>
      <c r="C158" s="561"/>
      <c r="D158" s="531" t="s">
        <v>837</v>
      </c>
      <c r="E158" s="524" t="str">
        <f t="shared" si="15"/>
        <v>Pemasangan 1m2 Dinding Bata Merah (5x11x22) cm Tebal ½ Batu dengan Mortar tipe o,fc’ fc' 2,4 Mpa (setara campuran  1 SP : 5 PP)</v>
      </c>
      <c r="F158" s="544" t="s">
        <v>82</v>
      </c>
      <c r="G158" s="532">
        <f t="shared" si="16"/>
        <v>175016</v>
      </c>
      <c r="I158" s="253"/>
    </row>
    <row r="159" spans="2:11" s="252" customFormat="1" ht="23.1" customHeight="1" x14ac:dyDescent="0.25">
      <c r="B159" s="530">
        <f t="shared" si="14"/>
        <v>138</v>
      </c>
      <c r="C159" s="561"/>
      <c r="D159" s="531" t="s">
        <v>839</v>
      </c>
      <c r="E159" s="524" t="str">
        <f t="shared" si="15"/>
        <v>Pemasangan 1m2 Dinding Bata Merah (5x11x22) cm Tebal ½ Batu campuran 1 SP : 6PP</v>
      </c>
      <c r="F159" s="544" t="s">
        <v>82</v>
      </c>
      <c r="G159" s="532">
        <f t="shared" si="16"/>
        <v>173319</v>
      </c>
      <c r="I159" s="253"/>
    </row>
    <row r="160" spans="2:11" s="252" customFormat="1" ht="23.1" customHeight="1" x14ac:dyDescent="0.25">
      <c r="B160" s="530">
        <f t="shared" si="14"/>
        <v>139</v>
      </c>
      <c r="C160" s="561"/>
      <c r="D160" s="531" t="s">
        <v>841</v>
      </c>
      <c r="E160" s="524" t="str">
        <f t="shared" si="15"/>
        <v>Pemasangan 1m2 dinding bata merah (5x11x22)cm tebal ½ batu campuran  1SP : 8 PP</v>
      </c>
      <c r="F160" s="544" t="s">
        <v>82</v>
      </c>
      <c r="G160" s="532">
        <f t="shared" si="16"/>
        <v>169835</v>
      </c>
      <c r="I160" s="253"/>
    </row>
    <row r="161" spans="2:11" s="252" customFormat="1" ht="23.1" customHeight="1" x14ac:dyDescent="0.25">
      <c r="B161" s="530">
        <f t="shared" si="14"/>
        <v>140</v>
      </c>
      <c r="C161" s="561"/>
      <c r="D161" s="531" t="s">
        <v>843</v>
      </c>
      <c r="E161" s="524" t="str">
        <f t="shared" si="15"/>
        <v>Pemasangan 1m2  dinding bata merah (5x11x22)cm tebal ½ batu campuran 1SP : 3KP :10PP</v>
      </c>
      <c r="F161" s="544" t="s">
        <v>82</v>
      </c>
      <c r="G161" s="532">
        <f t="shared" si="16"/>
        <v>173106</v>
      </c>
      <c r="I161" s="253"/>
    </row>
    <row r="162" spans="2:11" s="252" customFormat="1" ht="23.1" customHeight="1" x14ac:dyDescent="0.25">
      <c r="B162" s="530">
        <f t="shared" si="14"/>
        <v>141</v>
      </c>
      <c r="C162" s="561"/>
      <c r="D162" s="531" t="s">
        <v>845</v>
      </c>
      <c r="E162" s="524" t="str">
        <f t="shared" si="15"/>
        <v>Pemasangan 1m2 dinding bata merah (5x11x22)cm tebal ½ batu campuran 1SM : 1KP :1PP</v>
      </c>
      <c r="F162" s="544" t="s">
        <v>82</v>
      </c>
      <c r="G162" s="532">
        <f t="shared" si="16"/>
        <v>156407</v>
      </c>
      <c r="I162" s="253"/>
    </row>
    <row r="163" spans="2:11" s="252" customFormat="1" ht="23.1" customHeight="1" x14ac:dyDescent="0.25">
      <c r="B163" s="530">
        <f t="shared" si="14"/>
        <v>142</v>
      </c>
      <c r="C163" s="561"/>
      <c r="D163" s="531" t="s">
        <v>848</v>
      </c>
      <c r="E163" s="524" t="str">
        <f t="shared" si="15"/>
        <v>Pemasangan 1m2 dinding bata merah (5x11x22) cm tebal ½ batu campuran  1SM : 1KP :2PP</v>
      </c>
      <c r="F163" s="544" t="s">
        <v>82</v>
      </c>
      <c r="G163" s="532">
        <f t="shared" si="16"/>
        <v>157209</v>
      </c>
      <c r="I163" s="253"/>
    </row>
    <row r="164" spans="2:11" s="252" customFormat="1" ht="23.1" customHeight="1" x14ac:dyDescent="0.25">
      <c r="B164" s="530">
        <f t="shared" si="14"/>
        <v>143</v>
      </c>
      <c r="C164" s="561"/>
      <c r="D164" s="531" t="s">
        <v>850</v>
      </c>
      <c r="E164" s="524" t="str">
        <f t="shared" si="15"/>
        <v>Pemasangan 1m2 dinding conblock HB20 dengan mortar tipe s, fc' 12,5 Mpa (setara campuran  1SP  : 3PP)</v>
      </c>
      <c r="F164" s="544" t="s">
        <v>82</v>
      </c>
      <c r="G164" s="532">
        <f t="shared" si="16"/>
        <v>515979</v>
      </c>
      <c r="I164" s="253"/>
    </row>
    <row r="165" spans="2:11" s="252" customFormat="1" ht="23.1" customHeight="1" x14ac:dyDescent="0.25">
      <c r="B165" s="530">
        <f t="shared" si="14"/>
        <v>144</v>
      </c>
      <c r="C165" s="561"/>
      <c r="D165" s="531" t="s">
        <v>854</v>
      </c>
      <c r="E165" s="524" t="str">
        <f t="shared" si="15"/>
        <v>Pemasangan 1m2 dinding conblock HB20 dengan mortar tipe n, fc' 5,2 Mpa (setara campuran  1SP  : 4PP)</v>
      </c>
      <c r="F165" s="544" t="s">
        <v>82</v>
      </c>
      <c r="G165" s="532">
        <f t="shared" si="16"/>
        <v>515716</v>
      </c>
      <c r="I165" s="253"/>
    </row>
    <row r="166" spans="2:11" s="252" customFormat="1" ht="23.1" customHeight="1" x14ac:dyDescent="0.25">
      <c r="B166" s="530">
        <f t="shared" si="14"/>
        <v>145</v>
      </c>
      <c r="C166" s="561"/>
      <c r="D166" s="531" t="s">
        <v>856</v>
      </c>
      <c r="E166" s="524" t="str">
        <f t="shared" si="15"/>
        <v>Pemasangan 1m2 dinding conblock HB15 dengan mortar tipe s, fc' 12,5 Mpa (setara campuran  1SP  : 3PP)</v>
      </c>
      <c r="F166" s="544" t="s">
        <v>82</v>
      </c>
      <c r="G166" s="532">
        <f t="shared" si="16"/>
        <v>387872</v>
      </c>
      <c r="I166" s="253"/>
    </row>
    <row r="167" spans="2:11" s="252" customFormat="1" ht="23.1" customHeight="1" x14ac:dyDescent="0.25">
      <c r="B167" s="530">
        <f t="shared" si="14"/>
        <v>146</v>
      </c>
      <c r="C167" s="561"/>
      <c r="D167" s="531" t="s">
        <v>859</v>
      </c>
      <c r="E167" s="524" t="str">
        <f t="shared" si="15"/>
        <v>Pemasangan 1m2 dinding conblock HB15 dengan mortar tipe n, fc' 5,2 Mpa (setara campuran  1SP  : 4PP)</v>
      </c>
      <c r="F167" s="544" t="s">
        <v>82</v>
      </c>
      <c r="G167" s="532">
        <f t="shared" si="16"/>
        <v>387407</v>
      </c>
      <c r="I167" s="253"/>
    </row>
    <row r="168" spans="2:11" s="252" customFormat="1" ht="23.1" customHeight="1" x14ac:dyDescent="0.25">
      <c r="B168" s="530">
        <f t="shared" si="14"/>
        <v>147</v>
      </c>
      <c r="C168" s="561"/>
      <c r="D168" s="531" t="s">
        <v>861</v>
      </c>
      <c r="E168" s="524" t="str">
        <f t="shared" si="15"/>
        <v>Pemasangan 1m2 dinding conblock HB10 dengan mortar tipe s, fc' 12,5 Mpa (setara campuran  1SP  : 3PP)</v>
      </c>
      <c r="F168" s="544" t="s">
        <v>82</v>
      </c>
      <c r="G168" s="532">
        <f t="shared" si="16"/>
        <v>302041</v>
      </c>
      <c r="I168" s="253"/>
    </row>
    <row r="169" spans="2:11" s="252" customFormat="1" ht="23.1" customHeight="1" x14ac:dyDescent="0.25">
      <c r="B169" s="530">
        <f t="shared" si="14"/>
        <v>148</v>
      </c>
      <c r="C169" s="561"/>
      <c r="D169" s="531" t="s">
        <v>864</v>
      </c>
      <c r="E169" s="524" t="str">
        <f t="shared" si="15"/>
        <v>Pemasangan 1m2 dinding conblock HB10 dengan mortar tipe n, fc' 5,2 Mpa (setara campuran  1SP  : 4PP)</v>
      </c>
      <c r="F169" s="544" t="s">
        <v>82</v>
      </c>
      <c r="G169" s="532">
        <f t="shared" si="16"/>
        <v>302468</v>
      </c>
      <c r="I169" s="253"/>
    </row>
    <row r="170" spans="2:11" s="252" customFormat="1" ht="28.5" customHeight="1" x14ac:dyDescent="0.25">
      <c r="B170" s="530">
        <f t="shared" si="14"/>
        <v>149</v>
      </c>
      <c r="C170" s="561"/>
      <c r="D170" s="531" t="s">
        <v>866</v>
      </c>
      <c r="E170" s="524" t="str">
        <f t="shared" si="15"/>
        <v>Pemasangan 1m2 dinding terawang (rooster) 12x11x24 dengan mortar tipe s, fc' 12,5 Mpa (setara campuran  1SP  : 3PP)</v>
      </c>
      <c r="F170" s="544" t="s">
        <v>82</v>
      </c>
      <c r="G170" s="532">
        <f t="shared" si="16"/>
        <v>123258</v>
      </c>
      <c r="I170" s="253"/>
    </row>
    <row r="171" spans="2:11" s="252" customFormat="1" ht="28.5" customHeight="1" x14ac:dyDescent="0.25">
      <c r="B171" s="530">
        <f t="shared" si="14"/>
        <v>150</v>
      </c>
      <c r="C171" s="561"/>
      <c r="D171" s="531" t="s">
        <v>869</v>
      </c>
      <c r="E171" s="524" t="str">
        <f t="shared" si="15"/>
        <v>Pemasangan 1m2 dinding terawang (rooster) 12x11x24 dengan mortar tipe n, fc' 5,2 Mpa (setara campuran  1SP  : 4PP)</v>
      </c>
      <c r="F171" s="544" t="s">
        <v>82</v>
      </c>
      <c r="G171" s="532">
        <f t="shared" si="16"/>
        <v>154938</v>
      </c>
      <c r="I171" s="253"/>
    </row>
    <row r="172" spans="2:11" s="252" customFormat="1" ht="28.5" customHeight="1" x14ac:dyDescent="0.25">
      <c r="B172" s="530">
        <f t="shared" si="14"/>
        <v>151</v>
      </c>
      <c r="C172" s="561"/>
      <c r="D172" s="531" t="s">
        <v>872</v>
      </c>
      <c r="E172" s="524" t="str">
        <f t="shared" si="15"/>
        <v>Pemasangan 1m2 dinding berongga ekspose 12x11x24 dengan mortar tipe s, fc' 12,5 Mpa (setara campuran  1SP  : 3PP)</v>
      </c>
      <c r="F172" s="544" t="s">
        <v>82</v>
      </c>
      <c r="G172" s="532">
        <f t="shared" si="16"/>
        <v>175623</v>
      </c>
      <c r="I172" s="253"/>
    </row>
    <row r="173" spans="2:11" s="252" customFormat="1" ht="28.5" customHeight="1" x14ac:dyDescent="0.25">
      <c r="B173" s="530">
        <f t="shared" si="14"/>
        <v>152</v>
      </c>
      <c r="C173" s="561"/>
      <c r="D173" s="531" t="s">
        <v>874</v>
      </c>
      <c r="E173" s="524" t="str">
        <f t="shared" si="15"/>
        <v>Pemasangan 1m2 dinding berongga ekspose 12x11x24 dengan mortar tipe n, fc' 5,2 Mpa (setara campuran  1SP  : 4PP)</v>
      </c>
      <c r="F173" s="544" t="s">
        <v>82</v>
      </c>
      <c r="G173" s="532">
        <f t="shared" si="16"/>
        <v>118002</v>
      </c>
      <c r="I173" s="253"/>
      <c r="J173" s="254"/>
      <c r="K173" s="255"/>
    </row>
    <row r="174" spans="2:11" s="252" customFormat="1" ht="15" customHeight="1" x14ac:dyDescent="0.25">
      <c r="B174" s="530">
        <f t="shared" si="14"/>
        <v>153</v>
      </c>
      <c r="C174" s="561"/>
      <c r="D174" s="531" t="s">
        <v>879</v>
      </c>
      <c r="E174" s="524" t="str">
        <f t="shared" si="15"/>
        <v>Pemasangan 1 m2 dinding bata ringan tebal 10 cm dengan mortar siap pakai</v>
      </c>
      <c r="F174" s="544" t="s">
        <v>82</v>
      </c>
      <c r="G174" s="532">
        <f t="shared" si="16"/>
        <v>144530</v>
      </c>
      <c r="I174" s="253"/>
      <c r="J174" s="254"/>
      <c r="K174" s="255"/>
    </row>
    <row r="175" spans="2:11" ht="15" customHeight="1" x14ac:dyDescent="0.2">
      <c r="B175" s="530"/>
      <c r="C175" s="561"/>
      <c r="D175" s="536"/>
      <c r="E175" s="531"/>
      <c r="F175" s="545"/>
      <c r="G175" s="532"/>
      <c r="I175" s="250"/>
    </row>
    <row r="176" spans="2:11" ht="15" customHeight="1" x14ac:dyDescent="0.2">
      <c r="B176" s="530"/>
      <c r="C176" s="563" t="s">
        <v>881</v>
      </c>
      <c r="D176" s="556" t="s">
        <v>882</v>
      </c>
      <c r="E176" s="557"/>
      <c r="F176" s="543"/>
      <c r="G176" s="532"/>
      <c r="I176" s="250"/>
    </row>
    <row r="177" spans="2:9" ht="15" customHeight="1" x14ac:dyDescent="0.2">
      <c r="B177" s="530">
        <f>B174+1</f>
        <v>154</v>
      </c>
      <c r="C177" s="562"/>
      <c r="D177" s="531" t="s">
        <v>883</v>
      </c>
      <c r="E177" s="524" t="str">
        <f t="shared" ref="E177:E205" si="17">VLOOKUP(D177,AHSP,2,FALSE)</f>
        <v>Pemasangan 1 m2 plesteran 1SP : 1PP tebal 15 mm.</v>
      </c>
      <c r="F177" s="544" t="s">
        <v>82</v>
      </c>
      <c r="G177" s="532">
        <f t="shared" ref="G177:G205" si="18">VLOOKUP(D177,AHSP,9,FALSE)</f>
        <v>108051</v>
      </c>
      <c r="I177" s="250"/>
    </row>
    <row r="178" spans="2:9" ht="15" customHeight="1" x14ac:dyDescent="0.2">
      <c r="B178" s="530">
        <f t="shared" si="14"/>
        <v>155</v>
      </c>
      <c r="C178" s="561"/>
      <c r="D178" s="531" t="s">
        <v>885</v>
      </c>
      <c r="E178" s="524" t="str">
        <f t="shared" si="17"/>
        <v>Pemasangan 1 m2 plesteran 1SP : 2PP tebal 15 mm.</v>
      </c>
      <c r="F178" s="544" t="s">
        <v>82</v>
      </c>
      <c r="G178" s="532">
        <f t="shared" si="18"/>
        <v>98247</v>
      </c>
      <c r="I178" s="250"/>
    </row>
    <row r="179" spans="2:9" ht="15" customHeight="1" x14ac:dyDescent="0.2">
      <c r="B179" s="530">
        <f t="shared" si="14"/>
        <v>156</v>
      </c>
      <c r="C179" s="561"/>
      <c r="D179" s="531" t="s">
        <v>887</v>
      </c>
      <c r="E179" s="524" t="str">
        <f t="shared" si="17"/>
        <v>Pemasangan 1 m2 plesteran 1SP : 3PP tebal 15mm.</v>
      </c>
      <c r="F179" s="544" t="s">
        <v>82</v>
      </c>
      <c r="G179" s="532">
        <f t="shared" si="18"/>
        <v>94022</v>
      </c>
      <c r="I179" s="250"/>
    </row>
    <row r="180" spans="2:9" ht="15" customHeight="1" x14ac:dyDescent="0.2">
      <c r="B180" s="530">
        <f t="shared" si="14"/>
        <v>157</v>
      </c>
      <c r="C180" s="561"/>
      <c r="D180" s="531" t="s">
        <v>889</v>
      </c>
      <c r="E180" s="524" t="str">
        <f t="shared" si="17"/>
        <v>Pemasangan 1 m2 plesteran 1SP : 4PP tebal 15 mm</v>
      </c>
      <c r="F180" s="544" t="s">
        <v>82</v>
      </c>
      <c r="G180" s="532">
        <f t="shared" si="18"/>
        <v>91124</v>
      </c>
      <c r="I180" s="250"/>
    </row>
    <row r="181" spans="2:9" ht="15" customHeight="1" x14ac:dyDescent="0.2">
      <c r="B181" s="530">
        <f t="shared" si="14"/>
        <v>158</v>
      </c>
      <c r="C181" s="562"/>
      <c r="D181" s="531" t="s">
        <v>891</v>
      </c>
      <c r="E181" s="524" t="str">
        <f t="shared" si="17"/>
        <v>Pemasangan 1 m2 plesteran 1SP : 5PP tebal 15 mm</v>
      </c>
      <c r="F181" s="544" t="s">
        <v>82</v>
      </c>
      <c r="G181" s="532">
        <f t="shared" si="18"/>
        <v>89498</v>
      </c>
      <c r="I181" s="250"/>
    </row>
    <row r="182" spans="2:9" ht="15" customHeight="1" x14ac:dyDescent="0.2">
      <c r="B182" s="530">
        <f t="shared" si="14"/>
        <v>159</v>
      </c>
      <c r="C182" s="561"/>
      <c r="D182" s="531" t="s">
        <v>893</v>
      </c>
      <c r="E182" s="524" t="str">
        <f t="shared" si="17"/>
        <v>Pemasangan 1 m2 plesteran 1SP : 6PP tebal 15 mm.</v>
      </c>
      <c r="F182" s="544" t="s">
        <v>82</v>
      </c>
      <c r="G182" s="532">
        <f t="shared" si="18"/>
        <v>88189</v>
      </c>
      <c r="I182" s="250"/>
    </row>
    <row r="183" spans="2:9" ht="15" customHeight="1" x14ac:dyDescent="0.2">
      <c r="B183" s="530">
        <f t="shared" si="14"/>
        <v>160</v>
      </c>
      <c r="C183" s="561"/>
      <c r="D183" s="531" t="s">
        <v>895</v>
      </c>
      <c r="E183" s="524" t="str">
        <f t="shared" si="17"/>
        <v>Pemasangan 1 m2 plesteran 1SP : 7PP tebal 15 mm</v>
      </c>
      <c r="F183" s="544" t="s">
        <v>82</v>
      </c>
      <c r="G183" s="532">
        <f t="shared" si="18"/>
        <v>87475</v>
      </c>
      <c r="I183" s="250"/>
    </row>
    <row r="184" spans="2:9" ht="15" customHeight="1" x14ac:dyDescent="0.2">
      <c r="B184" s="530">
        <f t="shared" si="14"/>
        <v>161</v>
      </c>
      <c r="C184" s="561"/>
      <c r="D184" s="531" t="s">
        <v>897</v>
      </c>
      <c r="E184" s="524" t="str">
        <f t="shared" si="17"/>
        <v>Pemasangan 1 m2 plesteran 1SP : 8PP tebal 15 mm</v>
      </c>
      <c r="F184" s="544" t="s">
        <v>82</v>
      </c>
      <c r="G184" s="532">
        <f t="shared" si="18"/>
        <v>86761</v>
      </c>
      <c r="I184" s="250"/>
    </row>
    <row r="185" spans="2:9" ht="15" customHeight="1" x14ac:dyDescent="0.2">
      <c r="B185" s="530">
        <f t="shared" si="14"/>
        <v>162</v>
      </c>
      <c r="C185" s="561"/>
      <c r="D185" s="531" t="s">
        <v>899</v>
      </c>
      <c r="E185" s="524" t="str">
        <f t="shared" si="17"/>
        <v>Pemasangan 1 m2 plesteran 1SP : 1/2KP : 3PP tebal 15 mm</v>
      </c>
      <c r="F185" s="544" t="s">
        <v>82</v>
      </c>
      <c r="G185" s="532">
        <f t="shared" si="18"/>
        <v>92127</v>
      </c>
      <c r="I185" s="250"/>
    </row>
    <row r="186" spans="2:9" ht="15" customHeight="1" x14ac:dyDescent="0.2">
      <c r="B186" s="530">
        <f t="shared" si="14"/>
        <v>163</v>
      </c>
      <c r="C186" s="561"/>
      <c r="D186" s="531" t="s">
        <v>902</v>
      </c>
      <c r="E186" s="524" t="str">
        <f t="shared" si="17"/>
        <v>Pemasangan 1 m2 plesteran 1SP : 2KP : 8PP tebal 15 mm</v>
      </c>
      <c r="F186" s="544" t="s">
        <v>82</v>
      </c>
      <c r="G186" s="532">
        <f t="shared" si="18"/>
        <v>89535</v>
      </c>
      <c r="I186" s="250"/>
    </row>
    <row r="187" spans="2:9" ht="15" customHeight="1" x14ac:dyDescent="0.2">
      <c r="B187" s="530">
        <f t="shared" si="14"/>
        <v>164</v>
      </c>
      <c r="C187" s="561"/>
      <c r="D187" s="531" t="s">
        <v>904</v>
      </c>
      <c r="E187" s="524" t="str">
        <f t="shared" si="17"/>
        <v>Pemasangan 1 m2 plesteran 1SM : 1KP : 1PP tebal 15 mm</v>
      </c>
      <c r="F187" s="544" t="s">
        <v>82</v>
      </c>
      <c r="G187" s="532">
        <f t="shared" si="18"/>
        <v>82611</v>
      </c>
      <c r="I187" s="250"/>
    </row>
    <row r="188" spans="2:9" ht="15" customHeight="1" x14ac:dyDescent="0.2">
      <c r="B188" s="530">
        <f t="shared" si="14"/>
        <v>165</v>
      </c>
      <c r="C188" s="561"/>
      <c r="D188" s="531" t="s">
        <v>906</v>
      </c>
      <c r="E188" s="524" t="str">
        <f t="shared" si="17"/>
        <v>Pemasangan 1 m2 plesteran 1SM : 1KP : 2PP tebal 15 mm</v>
      </c>
      <c r="F188" s="544" t="s">
        <v>82</v>
      </c>
      <c r="G188" s="532">
        <f t="shared" si="18"/>
        <v>83116</v>
      </c>
      <c r="I188" s="250"/>
    </row>
    <row r="189" spans="2:9" ht="15" customHeight="1" x14ac:dyDescent="0.2">
      <c r="B189" s="530">
        <f t="shared" si="14"/>
        <v>166</v>
      </c>
      <c r="C189" s="561"/>
      <c r="D189" s="531" t="s">
        <v>908</v>
      </c>
      <c r="E189" s="524" t="str">
        <f t="shared" si="17"/>
        <v>Pemasangan 1 m2 plesteran 1SP : 1PP tebal 20 mm</v>
      </c>
      <c r="F189" s="544" t="s">
        <v>82</v>
      </c>
      <c r="G189" s="532">
        <f t="shared" si="18"/>
        <v>131464</v>
      </c>
      <c r="I189" s="250"/>
    </row>
    <row r="190" spans="2:9" ht="15" customHeight="1" x14ac:dyDescent="0.2">
      <c r="B190" s="530">
        <f t="shared" si="14"/>
        <v>167</v>
      </c>
      <c r="C190" s="561"/>
      <c r="D190" s="531" t="s">
        <v>910</v>
      </c>
      <c r="E190" s="524" t="str">
        <f t="shared" si="17"/>
        <v>Pemasangan 1 m2 plesteran 1SP : 3PP tebal 20 mm</v>
      </c>
      <c r="F190" s="544" t="s">
        <v>82</v>
      </c>
      <c r="G190" s="532">
        <f t="shared" si="18"/>
        <v>104896</v>
      </c>
      <c r="I190" s="250"/>
    </row>
    <row r="191" spans="2:9" ht="15" customHeight="1" x14ac:dyDescent="0.2">
      <c r="B191" s="530">
        <f t="shared" si="14"/>
        <v>168</v>
      </c>
      <c r="C191" s="561"/>
      <c r="D191" s="531" t="s">
        <v>912</v>
      </c>
      <c r="E191" s="524" t="str">
        <f t="shared" si="17"/>
        <v>Pemasangan 1 m2 plesteran 1SP : 4PP tebal 20 mm.</v>
      </c>
      <c r="F191" s="544" t="s">
        <v>82</v>
      </c>
      <c r="G191" s="532">
        <f t="shared" si="18"/>
        <v>121873</v>
      </c>
      <c r="I191" s="250"/>
    </row>
    <row r="192" spans="2:9" ht="15" customHeight="1" x14ac:dyDescent="0.2">
      <c r="B192" s="530">
        <f t="shared" si="14"/>
        <v>169</v>
      </c>
      <c r="C192" s="561"/>
      <c r="D192" s="531" t="s">
        <v>914</v>
      </c>
      <c r="E192" s="524" t="str">
        <f t="shared" si="17"/>
        <v>Pemasangan 1 m2 plesteran 1SP : 5PP tebal 20 mm</v>
      </c>
      <c r="F192" s="544" t="s">
        <v>82</v>
      </c>
      <c r="G192" s="532">
        <f t="shared" si="18"/>
        <v>119798</v>
      </c>
      <c r="I192" s="250"/>
    </row>
    <row r="193" spans="2:11" ht="15" customHeight="1" x14ac:dyDescent="0.2">
      <c r="B193" s="530">
        <f t="shared" si="14"/>
        <v>170</v>
      </c>
      <c r="C193" s="561"/>
      <c r="D193" s="531" t="s">
        <v>916</v>
      </c>
      <c r="E193" s="524" t="str">
        <f t="shared" si="17"/>
        <v>Pemasangan 1 m2 plesteran 1SP : 6PP tebal 20 mm</v>
      </c>
      <c r="F193" s="544" t="s">
        <v>82</v>
      </c>
      <c r="G193" s="532">
        <f t="shared" si="18"/>
        <v>117959</v>
      </c>
      <c r="I193" s="250"/>
    </row>
    <row r="194" spans="2:11" ht="15" customHeight="1" x14ac:dyDescent="0.2">
      <c r="B194" s="530">
        <f t="shared" si="14"/>
        <v>171</v>
      </c>
      <c r="C194" s="561"/>
      <c r="D194" s="531" t="s">
        <v>918</v>
      </c>
      <c r="E194" s="524" t="str">
        <f t="shared" si="17"/>
        <v>Pemasangan 1 m2 plesteran 1SM : 1KP : 2PP tebal 20 mm</v>
      </c>
      <c r="F194" s="544" t="s">
        <v>82</v>
      </c>
      <c r="G194" s="532">
        <f t="shared" si="18"/>
        <v>115184</v>
      </c>
      <c r="I194" s="250"/>
    </row>
    <row r="195" spans="2:11" ht="15" customHeight="1" x14ac:dyDescent="0.2">
      <c r="B195" s="530">
        <f t="shared" si="14"/>
        <v>172</v>
      </c>
      <c r="C195" s="561"/>
      <c r="D195" s="531" t="s">
        <v>920</v>
      </c>
      <c r="E195" s="524" t="str">
        <f t="shared" si="17"/>
        <v>Pemasangan 1 m2 berapen 1SP : 5PP tebal 15 mm</v>
      </c>
      <c r="F195" s="544" t="s">
        <v>82</v>
      </c>
      <c r="G195" s="532">
        <f t="shared" si="18"/>
        <v>53918</v>
      </c>
      <c r="I195" s="250"/>
    </row>
    <row r="196" spans="2:11" ht="15" customHeight="1" x14ac:dyDescent="0.2">
      <c r="B196" s="530">
        <f t="shared" si="14"/>
        <v>173</v>
      </c>
      <c r="C196" s="561"/>
      <c r="D196" s="531" t="s">
        <v>922</v>
      </c>
      <c r="E196" s="524" t="str">
        <f t="shared" si="17"/>
        <v>Pemasangan 1 m’ plesteran skoning 1SP : 3PP lebar 10 cm</v>
      </c>
      <c r="F196" s="544" t="s">
        <v>82</v>
      </c>
      <c r="G196" s="532">
        <f t="shared" si="18"/>
        <v>89667</v>
      </c>
      <c r="I196" s="250"/>
    </row>
    <row r="197" spans="2:11" ht="15" customHeight="1" x14ac:dyDescent="0.2">
      <c r="B197" s="530">
        <f t="shared" si="14"/>
        <v>174</v>
      </c>
      <c r="C197" s="561"/>
      <c r="D197" s="531" t="s">
        <v>924</v>
      </c>
      <c r="E197" s="524" t="str">
        <f t="shared" si="17"/>
        <v>Pemasangan 1 m2 plesteran granit  1SP : 2 granit tebal 1cm</v>
      </c>
      <c r="F197" s="544" t="s">
        <v>82</v>
      </c>
      <c r="G197" s="532">
        <f t="shared" si="18"/>
        <v>437530</v>
      </c>
      <c r="I197" s="250"/>
    </row>
    <row r="198" spans="2:11" ht="15" customHeight="1" x14ac:dyDescent="0.2">
      <c r="B198" s="530">
        <f t="shared" si="14"/>
        <v>175</v>
      </c>
      <c r="C198" s="561"/>
      <c r="D198" s="531" t="s">
        <v>927</v>
      </c>
      <c r="E198" s="524" t="str">
        <f t="shared" si="17"/>
        <v>Pemasangan 1 m2 plesteran traso  1SP : 2 traso tebal 1cm</v>
      </c>
      <c r="F198" s="544" t="s">
        <v>82</v>
      </c>
      <c r="G198" s="532">
        <f t="shared" si="18"/>
        <v>176170</v>
      </c>
      <c r="I198" s="250"/>
    </row>
    <row r="199" spans="2:11" ht="15" customHeight="1" x14ac:dyDescent="0.2">
      <c r="B199" s="530">
        <f t="shared" si="14"/>
        <v>176</v>
      </c>
      <c r="C199" s="561"/>
      <c r="D199" s="531" t="s">
        <v>930</v>
      </c>
      <c r="E199" s="524" t="str">
        <f t="shared" si="17"/>
        <v>Pemasangan 1 m2 plesteran ciprat  1SP : 2PP</v>
      </c>
      <c r="F199" s="544" t="s">
        <v>82</v>
      </c>
      <c r="G199" s="532">
        <f t="shared" si="18"/>
        <v>72976</v>
      </c>
      <c r="I199" s="250"/>
    </row>
    <row r="200" spans="2:11" ht="15" customHeight="1" x14ac:dyDescent="0.2">
      <c r="B200" s="530">
        <f t="shared" si="14"/>
        <v>177</v>
      </c>
      <c r="C200" s="561"/>
      <c r="D200" s="531" t="s">
        <v>932</v>
      </c>
      <c r="E200" s="524" t="str">
        <f t="shared" si="17"/>
        <v>Pemasangan 1 m2 finishing siar pasangan bata merah</v>
      </c>
      <c r="F200" s="544" t="s">
        <v>82</v>
      </c>
      <c r="G200" s="532">
        <f t="shared" si="18"/>
        <v>42375</v>
      </c>
      <c r="I200" s="250"/>
    </row>
    <row r="201" spans="2:11" ht="15" customHeight="1" x14ac:dyDescent="0.2">
      <c r="B201" s="530">
        <f t="shared" si="14"/>
        <v>178</v>
      </c>
      <c r="C201" s="561"/>
      <c r="D201" s="531" t="s">
        <v>934</v>
      </c>
      <c r="E201" s="524" t="str">
        <f t="shared" si="17"/>
        <v>Pemasangan 1 m2 finishing siar pasangan conblock ekspose</v>
      </c>
      <c r="F201" s="544" t="s">
        <v>82</v>
      </c>
      <c r="G201" s="532">
        <f t="shared" si="18"/>
        <v>20182</v>
      </c>
      <c r="I201" s="250"/>
    </row>
    <row r="202" spans="2:11" ht="15" customHeight="1" x14ac:dyDescent="0.2">
      <c r="B202" s="530">
        <f t="shared" si="14"/>
        <v>179</v>
      </c>
      <c r="C202" s="561"/>
      <c r="D202" s="531" t="s">
        <v>936</v>
      </c>
      <c r="E202" s="524" t="str">
        <f t="shared" si="17"/>
        <v>Pemasangan 1 m2 finishing siar pasangan batu kali, campuran 1SP : 2PP.</v>
      </c>
      <c r="F202" s="544" t="s">
        <v>82</v>
      </c>
      <c r="G202" s="532">
        <f t="shared" si="18"/>
        <v>87984</v>
      </c>
      <c r="I202" s="250"/>
    </row>
    <row r="203" spans="2:11" ht="15" customHeight="1" x14ac:dyDescent="0.2">
      <c r="B203" s="530">
        <f t="shared" si="14"/>
        <v>180</v>
      </c>
      <c r="C203" s="562"/>
      <c r="D203" s="531" t="s">
        <v>938</v>
      </c>
      <c r="E203" s="524" t="str">
        <f t="shared" si="17"/>
        <v>Pemasangan 1 m2 acian.</v>
      </c>
      <c r="F203" s="544" t="s">
        <v>82</v>
      </c>
      <c r="G203" s="532">
        <f t="shared" si="18"/>
        <v>54406</v>
      </c>
      <c r="I203" s="250"/>
    </row>
    <row r="204" spans="2:11" ht="15" customHeight="1" x14ac:dyDescent="0.2">
      <c r="B204" s="530">
        <f t="shared" ref="B204:B205" si="19">B203+1</f>
        <v>181</v>
      </c>
      <c r="C204" s="561"/>
      <c r="D204" s="531" t="s">
        <v>940</v>
      </c>
      <c r="E204" s="524" t="str">
        <f t="shared" si="17"/>
        <v xml:space="preserve">Pemasangan 1 m2 plesteran dengan mortar siap pakai (MSP) </v>
      </c>
      <c r="F204" s="544" t="s">
        <v>82</v>
      </c>
      <c r="G204" s="532">
        <f t="shared" si="18"/>
        <v>112535</v>
      </c>
      <c r="I204" s="250"/>
      <c r="J204" s="256"/>
      <c r="K204" s="257"/>
    </row>
    <row r="205" spans="2:11" ht="15" customHeight="1" x14ac:dyDescent="0.2">
      <c r="B205" s="530">
        <f t="shared" si="19"/>
        <v>182</v>
      </c>
      <c r="C205" s="561"/>
      <c r="D205" s="531" t="s">
        <v>943</v>
      </c>
      <c r="E205" s="524" t="str">
        <f t="shared" si="17"/>
        <v xml:space="preserve">Pemasangan 1 m2 Acian dengan mortar siap pakai (MSP) </v>
      </c>
      <c r="F205" s="544" t="s">
        <v>82</v>
      </c>
      <c r="G205" s="532">
        <f t="shared" si="18"/>
        <v>56911</v>
      </c>
      <c r="I205" s="250"/>
      <c r="J205" s="256"/>
      <c r="K205" s="257"/>
    </row>
    <row r="206" spans="2:11" ht="15" customHeight="1" x14ac:dyDescent="0.2">
      <c r="B206" s="530"/>
      <c r="C206" s="561"/>
      <c r="D206" s="536"/>
      <c r="E206" s="531"/>
      <c r="F206" s="545"/>
      <c r="G206" s="546"/>
      <c r="I206" s="250"/>
      <c r="J206" s="256"/>
      <c r="K206" s="257"/>
    </row>
    <row r="207" spans="2:11" ht="15" customHeight="1" x14ac:dyDescent="0.2">
      <c r="B207" s="530"/>
      <c r="C207" s="566" t="s">
        <v>946</v>
      </c>
      <c r="D207" s="556" t="s">
        <v>947</v>
      </c>
      <c r="E207" s="557"/>
      <c r="F207" s="543"/>
      <c r="G207" s="532"/>
      <c r="I207" s="250"/>
    </row>
    <row r="208" spans="2:11" ht="15" customHeight="1" x14ac:dyDescent="0.2">
      <c r="B208" s="530">
        <f>B205+1</f>
        <v>183</v>
      </c>
      <c r="C208" s="561"/>
      <c r="D208" s="531" t="s">
        <v>948</v>
      </c>
      <c r="E208" s="524" t="str">
        <f t="shared" ref="E208" si="20">VLOOKUP(D208,AHSP,2,FALSE)</f>
        <v>Pemasangan 1m2 lantai ubin PC abu-abu ukuran 40cm x40cm</v>
      </c>
      <c r="F208" s="544" t="s">
        <v>82</v>
      </c>
      <c r="G208" s="532">
        <f t="shared" ref="G208" si="21">VLOOKUP(D208,AHSP,9,FALSE)</f>
        <v>146427</v>
      </c>
      <c r="I208" s="250"/>
    </row>
    <row r="209" spans="2:9" ht="15" customHeight="1" x14ac:dyDescent="0.2">
      <c r="B209" s="530">
        <f t="shared" ref="B209:B272" si="22">B208+1</f>
        <v>184</v>
      </c>
      <c r="C209" s="561"/>
      <c r="D209" s="531" t="s">
        <v>951</v>
      </c>
      <c r="E209" s="524" t="str">
        <f t="shared" ref="E209:E272" si="23">VLOOKUP(D209,AHSP,2,FALSE)</f>
        <v>Pemasangan 1m2 lantai ubin PC abu-abu ukuran 30cm x30 cm</v>
      </c>
      <c r="F209" s="544" t="s">
        <v>82</v>
      </c>
      <c r="G209" s="532">
        <f t="shared" ref="G209:G272" si="24">VLOOKUP(D209,AHSP,9,FALSE)</f>
        <v>160654</v>
      </c>
      <c r="I209" s="250"/>
    </row>
    <row r="210" spans="2:9" ht="15" customHeight="1" x14ac:dyDescent="0.2">
      <c r="B210" s="530">
        <f t="shared" si="22"/>
        <v>185</v>
      </c>
      <c r="C210" s="561"/>
      <c r="D210" s="531" t="s">
        <v>954</v>
      </c>
      <c r="E210" s="524" t="str">
        <f t="shared" si="23"/>
        <v>Pemasangan 1m2 lantai ubin PC abu-abu ukuran 20cm x20 cm</v>
      </c>
      <c r="F210" s="544" t="s">
        <v>82</v>
      </c>
      <c r="G210" s="532">
        <f t="shared" si="24"/>
        <v>204429</v>
      </c>
      <c r="I210" s="250"/>
    </row>
    <row r="211" spans="2:9" ht="15" customHeight="1" x14ac:dyDescent="0.2">
      <c r="B211" s="530">
        <f t="shared" si="22"/>
        <v>186</v>
      </c>
      <c r="C211" s="561"/>
      <c r="D211" s="531" t="s">
        <v>957</v>
      </c>
      <c r="E211" s="524" t="str">
        <f t="shared" si="23"/>
        <v>Pemasangan 1m2 lantai ubin warna  ukuran 40cm x40 cm</v>
      </c>
      <c r="F211" s="544" t="s">
        <v>82</v>
      </c>
      <c r="G211" s="532">
        <f t="shared" si="24"/>
        <v>227251</v>
      </c>
      <c r="I211" s="250"/>
    </row>
    <row r="212" spans="2:9" ht="15" customHeight="1" x14ac:dyDescent="0.2">
      <c r="B212" s="530">
        <f t="shared" si="22"/>
        <v>187</v>
      </c>
      <c r="C212" s="561"/>
      <c r="D212" s="531" t="s">
        <v>961</v>
      </c>
      <c r="E212" s="524" t="str">
        <f t="shared" si="23"/>
        <v>Pemasangan 1m2 lantai ubin warna  ukuran 30cm x30cm</v>
      </c>
      <c r="F212" s="544" t="s">
        <v>82</v>
      </c>
      <c r="G212" s="532">
        <f t="shared" si="24"/>
        <v>304925</v>
      </c>
      <c r="I212" s="250"/>
    </row>
    <row r="213" spans="2:9" ht="15" customHeight="1" x14ac:dyDescent="0.2">
      <c r="B213" s="530">
        <f t="shared" si="22"/>
        <v>188</v>
      </c>
      <c r="C213" s="561"/>
      <c r="D213" s="531" t="s">
        <v>964</v>
      </c>
      <c r="E213" s="524" t="str">
        <f t="shared" si="23"/>
        <v>Pemasangan 1m2 lantai ubin warna  ukuran 20cm x20cm</v>
      </c>
      <c r="F213" s="544" t="s">
        <v>82</v>
      </c>
      <c r="G213" s="532">
        <f t="shared" si="24"/>
        <v>518677</v>
      </c>
      <c r="I213" s="250"/>
    </row>
    <row r="214" spans="2:9" ht="15" customHeight="1" x14ac:dyDescent="0.2">
      <c r="B214" s="530">
        <f t="shared" si="22"/>
        <v>189</v>
      </c>
      <c r="C214" s="561"/>
      <c r="D214" s="531" t="s">
        <v>967</v>
      </c>
      <c r="E214" s="524" t="str">
        <f t="shared" si="23"/>
        <v>Pemasangan 1m2 lantai ubin teraso  ukuran 40cm x40cm</v>
      </c>
      <c r="F214" s="544" t="s">
        <v>82</v>
      </c>
      <c r="G214" s="532">
        <f t="shared" si="24"/>
        <v>237461</v>
      </c>
      <c r="I214" s="250"/>
    </row>
    <row r="215" spans="2:9" ht="15" customHeight="1" x14ac:dyDescent="0.2">
      <c r="B215" s="530">
        <f t="shared" si="22"/>
        <v>190</v>
      </c>
      <c r="C215" s="561"/>
      <c r="D215" s="531" t="s">
        <v>970</v>
      </c>
      <c r="E215" s="524" t="str">
        <f t="shared" si="23"/>
        <v>Pemasangan 1m2 lantai ubin teraso  ukuran 30cm x30cm</v>
      </c>
      <c r="F215" s="544" t="s">
        <v>82</v>
      </c>
      <c r="G215" s="532">
        <f t="shared" si="24"/>
        <v>310801</v>
      </c>
      <c r="I215" s="250"/>
    </row>
    <row r="216" spans="2:9" ht="15" customHeight="1" x14ac:dyDescent="0.2">
      <c r="B216" s="530">
        <f t="shared" si="22"/>
        <v>191</v>
      </c>
      <c r="C216" s="561"/>
      <c r="D216" s="531" t="s">
        <v>973</v>
      </c>
      <c r="E216" s="524" t="str">
        <f t="shared" si="23"/>
        <v>Pemasangan 1m2 lantai ubin granit  ukuran 40cm x40cm</v>
      </c>
      <c r="F216" s="544" t="s">
        <v>82</v>
      </c>
      <c r="G216" s="532">
        <f t="shared" si="24"/>
        <v>275531</v>
      </c>
      <c r="I216" s="250"/>
    </row>
    <row r="217" spans="2:9" ht="15" customHeight="1" x14ac:dyDescent="0.2">
      <c r="B217" s="530">
        <f t="shared" si="22"/>
        <v>192</v>
      </c>
      <c r="C217" s="561"/>
      <c r="D217" s="531" t="s">
        <v>976</v>
      </c>
      <c r="E217" s="524" t="str">
        <f t="shared" si="23"/>
        <v>Pemasangan 1m2 lantai ubin granit  ukuran 30cm x30cm</v>
      </c>
      <c r="F217" s="544" t="s">
        <v>82</v>
      </c>
      <c r="G217" s="532">
        <f t="shared" si="24"/>
        <v>358329</v>
      </c>
      <c r="I217" s="250"/>
    </row>
    <row r="218" spans="2:9" ht="15" customHeight="1" x14ac:dyDescent="0.2">
      <c r="B218" s="530">
        <f t="shared" si="22"/>
        <v>193</v>
      </c>
      <c r="C218" s="561"/>
      <c r="D218" s="531" t="s">
        <v>979</v>
      </c>
      <c r="E218" s="524" t="str">
        <f t="shared" si="23"/>
        <v>Pemasangan 1m2 lantai ubin teralux  marmer ukuran 40cm x40cm</v>
      </c>
      <c r="F218" s="544" t="s">
        <v>82</v>
      </c>
      <c r="G218" s="532">
        <f t="shared" si="24"/>
        <v>196766</v>
      </c>
      <c r="I218" s="250"/>
    </row>
    <row r="219" spans="2:9" ht="15" customHeight="1" x14ac:dyDescent="0.2">
      <c r="B219" s="530">
        <f t="shared" si="22"/>
        <v>194</v>
      </c>
      <c r="C219" s="561"/>
      <c r="D219" s="531" t="s">
        <v>982</v>
      </c>
      <c r="E219" s="524" t="str">
        <f t="shared" si="23"/>
        <v>Pemasangan 1m2 lantai ubin teralux  ukuran 30cm x30cm</v>
      </c>
      <c r="F219" s="544" t="s">
        <v>82</v>
      </c>
      <c r="G219" s="532">
        <f t="shared" si="24"/>
        <v>325947</v>
      </c>
      <c r="I219" s="250"/>
    </row>
    <row r="220" spans="2:9" ht="15" customHeight="1" x14ac:dyDescent="0.2">
      <c r="B220" s="530">
        <f t="shared" si="22"/>
        <v>195</v>
      </c>
      <c r="C220" s="561"/>
      <c r="D220" s="531" t="s">
        <v>985</v>
      </c>
      <c r="E220" s="524" t="str">
        <f t="shared" si="23"/>
        <v>Pemasangan 1m2 lantai ubin teralux marmer ukuran 60cm x60cm</v>
      </c>
      <c r="F220" s="544" t="s">
        <v>82</v>
      </c>
      <c r="G220" s="532">
        <f t="shared" si="24"/>
        <v>283960</v>
      </c>
      <c r="I220" s="250"/>
    </row>
    <row r="221" spans="2:9" ht="15" customHeight="1" x14ac:dyDescent="0.2">
      <c r="B221" s="530">
        <f t="shared" si="22"/>
        <v>196</v>
      </c>
      <c r="C221" s="561"/>
      <c r="D221" s="531" t="s">
        <v>988</v>
      </c>
      <c r="E221" s="524" t="str">
        <f t="shared" si="23"/>
        <v>Pemasangan 1m2 lantai ubin teralux marmer ukuran 40cm x40cm</v>
      </c>
      <c r="F221" s="544" t="s">
        <v>82</v>
      </c>
      <c r="G221" s="532">
        <f t="shared" si="24"/>
        <v>395428</v>
      </c>
      <c r="I221" s="250"/>
    </row>
    <row r="222" spans="2:9" ht="15" customHeight="1" x14ac:dyDescent="0.2">
      <c r="B222" s="530">
        <f t="shared" si="22"/>
        <v>197</v>
      </c>
      <c r="C222" s="561"/>
      <c r="D222" s="531" t="s">
        <v>991</v>
      </c>
      <c r="E222" s="524" t="str">
        <f t="shared" si="23"/>
        <v>Pemasangan 1m2 lantai ubin teralux marmer ukuran 30cm x30cm</v>
      </c>
      <c r="F222" s="544" t="s">
        <v>82</v>
      </c>
      <c r="G222" s="532">
        <f t="shared" si="24"/>
        <v>618685</v>
      </c>
      <c r="I222" s="250"/>
    </row>
    <row r="223" spans="2:9" ht="15" customHeight="1" x14ac:dyDescent="0.2">
      <c r="B223" s="530">
        <f t="shared" si="22"/>
        <v>198</v>
      </c>
      <c r="C223" s="561"/>
      <c r="D223" s="531" t="s">
        <v>994</v>
      </c>
      <c r="E223" s="524" t="str">
        <f t="shared" si="23"/>
        <v>Pemasangan 1 m’ plint ubin Pc abu-abu ukuran 15cm x 20cm</v>
      </c>
      <c r="F223" s="544" t="s">
        <v>82</v>
      </c>
      <c r="G223" s="532">
        <f t="shared" si="24"/>
        <v>78279</v>
      </c>
      <c r="I223" s="250"/>
    </row>
    <row r="224" spans="2:9" ht="15" customHeight="1" x14ac:dyDescent="0.2">
      <c r="B224" s="530">
        <f t="shared" si="22"/>
        <v>199</v>
      </c>
      <c r="C224" s="561"/>
      <c r="D224" s="531" t="s">
        <v>997</v>
      </c>
      <c r="E224" s="524" t="str">
        <f t="shared" si="23"/>
        <v>Pemasangan 1 m’ plint ubin Pc abu-abu ukuran 10cm x 30cm</v>
      </c>
      <c r="F224" s="544" t="s">
        <v>82</v>
      </c>
      <c r="G224" s="532">
        <f t="shared" si="24"/>
        <v>57657</v>
      </c>
      <c r="I224" s="250"/>
    </row>
    <row r="225" spans="2:9" ht="15" customHeight="1" x14ac:dyDescent="0.2">
      <c r="B225" s="530">
        <f t="shared" si="22"/>
        <v>200</v>
      </c>
      <c r="C225" s="561"/>
      <c r="D225" s="531" t="s">
        <v>1000</v>
      </c>
      <c r="E225" s="524" t="str">
        <f t="shared" si="23"/>
        <v>Pemasangan 1 m’ plint ubin Pc abu-abu ukuran 10cm x 40cm</v>
      </c>
      <c r="F225" s="544" t="s">
        <v>82</v>
      </c>
      <c r="G225" s="532">
        <f t="shared" si="24"/>
        <v>53832</v>
      </c>
      <c r="I225" s="250"/>
    </row>
    <row r="226" spans="2:9" ht="15" customHeight="1" x14ac:dyDescent="0.2">
      <c r="B226" s="530">
        <f t="shared" si="22"/>
        <v>201</v>
      </c>
      <c r="C226" s="561"/>
      <c r="D226" s="531" t="s">
        <v>1003</v>
      </c>
      <c r="E226" s="524" t="str">
        <f t="shared" si="23"/>
        <v>Pemasangan 1 m’ plint ubin warna ukuran 10cm x 20cm</v>
      </c>
      <c r="F226" s="544" t="s">
        <v>82</v>
      </c>
      <c r="G226" s="532">
        <f t="shared" si="24"/>
        <v>48095</v>
      </c>
      <c r="I226" s="250"/>
    </row>
    <row r="227" spans="2:9" ht="15" customHeight="1" x14ac:dyDescent="0.2">
      <c r="B227" s="530">
        <f t="shared" si="22"/>
        <v>202</v>
      </c>
      <c r="C227" s="561"/>
      <c r="D227" s="531" t="s">
        <v>1006</v>
      </c>
      <c r="E227" s="524" t="str">
        <f t="shared" si="23"/>
        <v>Pemasangan 1 m’ plint ubin warna ukuran 10cm x 30cm</v>
      </c>
      <c r="F227" s="544" t="s">
        <v>82</v>
      </c>
      <c r="G227" s="532">
        <f t="shared" si="24"/>
        <v>55391</v>
      </c>
      <c r="I227" s="250"/>
    </row>
    <row r="228" spans="2:9" ht="15" customHeight="1" x14ac:dyDescent="0.2">
      <c r="B228" s="530">
        <f t="shared" si="22"/>
        <v>203</v>
      </c>
      <c r="C228" s="561"/>
      <c r="D228" s="531" t="s">
        <v>1009</v>
      </c>
      <c r="E228" s="524" t="str">
        <f t="shared" si="23"/>
        <v>Pemasangan 1 m’ plint ubin warna ukuran 10cm x 40cm</v>
      </c>
      <c r="F228" s="544" t="s">
        <v>82</v>
      </c>
      <c r="G228" s="532">
        <f t="shared" si="24"/>
        <v>56199</v>
      </c>
      <c r="I228" s="250"/>
    </row>
    <row r="229" spans="2:9" ht="15" customHeight="1" x14ac:dyDescent="0.2">
      <c r="B229" s="530">
        <f t="shared" si="22"/>
        <v>204</v>
      </c>
      <c r="C229" s="561"/>
      <c r="D229" s="531" t="s">
        <v>1012</v>
      </c>
      <c r="E229" s="524" t="str">
        <f t="shared" si="23"/>
        <v>Pemasangan 1 m’ plint ubin teraso ukuran 10cm x 30cm</v>
      </c>
      <c r="F229" s="544" t="s">
        <v>82</v>
      </c>
      <c r="G229" s="532">
        <f t="shared" si="24"/>
        <v>56362</v>
      </c>
      <c r="I229" s="250"/>
    </row>
    <row r="230" spans="2:9" ht="15" customHeight="1" x14ac:dyDescent="0.2">
      <c r="B230" s="530">
        <f t="shared" si="22"/>
        <v>205</v>
      </c>
      <c r="C230" s="561"/>
      <c r="D230" s="531" t="s">
        <v>1015</v>
      </c>
      <c r="E230" s="524" t="str">
        <f t="shared" si="23"/>
        <v>Pemasangan 1 m’ plint ubin teraso ukuran 10cm x 40cm</v>
      </c>
      <c r="F230" s="544" t="s">
        <v>82</v>
      </c>
      <c r="G230" s="532">
        <f t="shared" si="24"/>
        <v>57744</v>
      </c>
      <c r="I230" s="250"/>
    </row>
    <row r="231" spans="2:9" ht="15" customHeight="1" x14ac:dyDescent="0.2">
      <c r="B231" s="530">
        <f t="shared" si="22"/>
        <v>206</v>
      </c>
      <c r="C231" s="561"/>
      <c r="D231" s="531" t="s">
        <v>1018</v>
      </c>
      <c r="E231" s="524" t="str">
        <f t="shared" si="23"/>
        <v>Pemasangan 1 m’ plint ubin granit ukuran 10cm x 40cm</v>
      </c>
      <c r="F231" s="544" t="s">
        <v>82</v>
      </c>
      <c r="G231" s="532">
        <f t="shared" si="24"/>
        <v>85086</v>
      </c>
      <c r="I231" s="250"/>
    </row>
    <row r="232" spans="2:9" ht="15" customHeight="1" x14ac:dyDescent="0.2">
      <c r="B232" s="530">
        <f t="shared" si="22"/>
        <v>207</v>
      </c>
      <c r="C232" s="561"/>
      <c r="D232" s="531" t="s">
        <v>1021</v>
      </c>
      <c r="E232" s="524" t="str">
        <f t="shared" si="23"/>
        <v>Pemasangan 1 m’ plint ubin granit ukuran 10cm x 30cm</v>
      </c>
      <c r="F232" s="544" t="s">
        <v>82</v>
      </c>
      <c r="G232" s="532">
        <f t="shared" si="24"/>
        <v>94337</v>
      </c>
      <c r="I232" s="250"/>
    </row>
    <row r="233" spans="2:9" ht="15" customHeight="1" x14ac:dyDescent="0.2">
      <c r="B233" s="530">
        <f t="shared" si="22"/>
        <v>208</v>
      </c>
      <c r="C233" s="561"/>
      <c r="D233" s="531" t="s">
        <v>1024</v>
      </c>
      <c r="E233" s="524" t="str">
        <f t="shared" si="23"/>
        <v>Pemasangan 1 m’ plint ubin teralux kerang ukuran 10cm x 40cm</v>
      </c>
      <c r="F233" s="544" t="s">
        <v>82</v>
      </c>
      <c r="G233" s="532">
        <f t="shared" si="24"/>
        <v>56749</v>
      </c>
      <c r="I233" s="250"/>
    </row>
    <row r="234" spans="2:9" ht="15" customHeight="1" x14ac:dyDescent="0.2">
      <c r="B234" s="530">
        <f t="shared" si="22"/>
        <v>209</v>
      </c>
      <c r="C234" s="561"/>
      <c r="D234" s="531" t="s">
        <v>1027</v>
      </c>
      <c r="E234" s="524" t="str">
        <f t="shared" si="23"/>
        <v>Pemasangan 1 m’ plint ubin teralux kerang ukuran 10cm x 30cm</v>
      </c>
      <c r="F234" s="544" t="s">
        <v>82</v>
      </c>
      <c r="G234" s="532">
        <f t="shared" si="24"/>
        <v>60594</v>
      </c>
      <c r="I234" s="250"/>
    </row>
    <row r="235" spans="2:9" ht="15" customHeight="1" x14ac:dyDescent="0.2">
      <c r="B235" s="530">
        <f t="shared" si="22"/>
        <v>210</v>
      </c>
      <c r="C235" s="561"/>
      <c r="D235" s="531" t="s">
        <v>1030</v>
      </c>
      <c r="E235" s="524" t="str">
        <f t="shared" si="23"/>
        <v>Pemasangan 1 m’ plint ubin teralux marmer ukuran 10cm x 60cm</v>
      </c>
      <c r="F235" s="544" t="s">
        <v>82</v>
      </c>
      <c r="G235" s="532">
        <f t="shared" si="24"/>
        <v>68863</v>
      </c>
      <c r="I235" s="250"/>
    </row>
    <row r="236" spans="2:9" ht="15" customHeight="1" x14ac:dyDescent="0.2">
      <c r="B236" s="530">
        <f t="shared" si="22"/>
        <v>211</v>
      </c>
      <c r="C236" s="561"/>
      <c r="D236" s="531" t="s">
        <v>1033</v>
      </c>
      <c r="E236" s="524" t="str">
        <f t="shared" si="23"/>
        <v>Pemasangan 1 m’ plint ubin teralux marmer ukuran 10cm x 40cm</v>
      </c>
      <c r="F236" s="544" t="s">
        <v>82</v>
      </c>
      <c r="G236" s="532">
        <f t="shared" si="24"/>
        <v>85728</v>
      </c>
      <c r="I236" s="250"/>
    </row>
    <row r="237" spans="2:9" ht="15" customHeight="1" x14ac:dyDescent="0.2">
      <c r="B237" s="530">
        <f t="shared" si="22"/>
        <v>212</v>
      </c>
      <c r="C237" s="561"/>
      <c r="D237" s="531" t="s">
        <v>1036</v>
      </c>
      <c r="E237" s="524" t="str">
        <f t="shared" si="23"/>
        <v>Pemasangan 1 m’ plint ubin teralux marmer ukuran 10cm x 30cm</v>
      </c>
      <c r="F237" s="544" t="s">
        <v>82</v>
      </c>
      <c r="G237" s="532">
        <f t="shared" si="24"/>
        <v>101210</v>
      </c>
      <c r="I237" s="250"/>
    </row>
    <row r="238" spans="2:9" ht="15" customHeight="1" x14ac:dyDescent="0.2">
      <c r="B238" s="530">
        <f t="shared" si="22"/>
        <v>213</v>
      </c>
      <c r="C238" s="561"/>
      <c r="D238" s="531" t="s">
        <v>1039</v>
      </c>
      <c r="E238" s="524" t="str">
        <f t="shared" si="23"/>
        <v>Pemasangan 1m2 lantai teraso cor di tempat, tebal 3cm</v>
      </c>
      <c r="F238" s="544" t="s">
        <v>82</v>
      </c>
      <c r="G238" s="532">
        <f t="shared" si="24"/>
        <v>86317</v>
      </c>
      <c r="I238" s="250"/>
    </row>
    <row r="239" spans="2:9" ht="15" customHeight="1" x14ac:dyDescent="0.2">
      <c r="B239" s="530">
        <f t="shared" si="22"/>
        <v>214</v>
      </c>
      <c r="C239" s="561"/>
      <c r="D239" s="531" t="s">
        <v>1043</v>
      </c>
      <c r="E239" s="524" t="str">
        <f t="shared" si="23"/>
        <v>Pemasangan 1m2 lantai keramik artistik 10cm x 20cm</v>
      </c>
      <c r="F239" s="544" t="s">
        <v>82</v>
      </c>
      <c r="G239" s="532">
        <f t="shared" si="24"/>
        <v>314594</v>
      </c>
      <c r="I239" s="250"/>
    </row>
    <row r="240" spans="2:9" ht="15" customHeight="1" x14ac:dyDescent="0.2">
      <c r="B240" s="530">
        <f t="shared" si="22"/>
        <v>215</v>
      </c>
      <c r="C240" s="561"/>
      <c r="D240" s="531" t="s">
        <v>1046</v>
      </c>
      <c r="E240" s="524" t="str">
        <f t="shared" si="23"/>
        <v>Pemasangan 1m2 lantai keramik artistik 10cm x 10cm atau 5cm x 20cm</v>
      </c>
      <c r="F240" s="544" t="s">
        <v>82</v>
      </c>
      <c r="G240" s="532">
        <f t="shared" si="24"/>
        <v>426582</v>
      </c>
      <c r="I240" s="250"/>
    </row>
    <row r="241" spans="2:9" ht="15" customHeight="1" x14ac:dyDescent="0.2">
      <c r="B241" s="530">
        <f t="shared" si="22"/>
        <v>216</v>
      </c>
      <c r="C241" s="561"/>
      <c r="D241" s="531" t="s">
        <v>1049</v>
      </c>
      <c r="E241" s="524" t="str">
        <f t="shared" si="23"/>
        <v>Pemasangan 1m2 lantai keramik ukuran 33cm x 33cm</v>
      </c>
      <c r="F241" s="544" t="s">
        <v>82</v>
      </c>
      <c r="G241" s="532">
        <f t="shared" si="24"/>
        <v>299766</v>
      </c>
      <c r="I241" s="250"/>
    </row>
    <row r="242" spans="2:9" ht="15" customHeight="1" x14ac:dyDescent="0.2">
      <c r="B242" s="530">
        <f t="shared" si="22"/>
        <v>217</v>
      </c>
      <c r="C242" s="562"/>
      <c r="D242" s="531" t="s">
        <v>1052</v>
      </c>
      <c r="E242" s="524" t="str">
        <f t="shared" si="23"/>
        <v>Pemasangan 1m2 lantai keramik ukuran 30cm x 30cm</v>
      </c>
      <c r="F242" s="544" t="s">
        <v>82</v>
      </c>
      <c r="G242" s="532">
        <f t="shared" si="24"/>
        <v>302112</v>
      </c>
      <c r="I242" s="250"/>
    </row>
    <row r="243" spans="2:9" ht="15" customHeight="1" x14ac:dyDescent="0.2">
      <c r="B243" s="530">
        <f t="shared" si="22"/>
        <v>218</v>
      </c>
      <c r="C243" s="562"/>
      <c r="D243" s="531" t="s">
        <v>1055</v>
      </c>
      <c r="E243" s="524" t="str">
        <f t="shared" si="23"/>
        <v>Pemasangan 1m2 lantai keramik ukuran 20cm x 20cm</v>
      </c>
      <c r="F243" s="544" t="s">
        <v>82</v>
      </c>
      <c r="G243" s="532">
        <f t="shared" si="24"/>
        <v>351087</v>
      </c>
      <c r="I243" s="250"/>
    </row>
    <row r="244" spans="2:9" ht="15" customHeight="1" x14ac:dyDescent="0.2">
      <c r="B244" s="530">
        <f t="shared" si="22"/>
        <v>219</v>
      </c>
      <c r="C244" s="561"/>
      <c r="D244" s="531" t="s">
        <v>1058</v>
      </c>
      <c r="E244" s="524" t="str">
        <f t="shared" si="23"/>
        <v>keramik ukuran 10cm x 33cm untuk variasi/border</v>
      </c>
      <c r="F244" s="544" t="s">
        <v>82</v>
      </c>
      <c r="G244" s="532">
        <f t="shared" si="24"/>
        <v>937680</v>
      </c>
      <c r="I244" s="250"/>
    </row>
    <row r="245" spans="2:9" ht="15" customHeight="1" x14ac:dyDescent="0.2">
      <c r="B245" s="530">
        <f t="shared" si="22"/>
        <v>220</v>
      </c>
      <c r="C245" s="561"/>
      <c r="D245" s="531" t="s">
        <v>1061</v>
      </c>
      <c r="E245" s="524" t="str">
        <f t="shared" si="23"/>
        <v>Pemasangan 1m2 lantai keramik mozaik ukuran 30cm x 30cm</v>
      </c>
      <c r="F245" s="544" t="s">
        <v>82</v>
      </c>
      <c r="G245" s="532">
        <f t="shared" si="24"/>
        <v>389500</v>
      </c>
      <c r="I245" s="250"/>
    </row>
    <row r="246" spans="2:9" ht="15" customHeight="1" x14ac:dyDescent="0.2">
      <c r="B246" s="530">
        <f t="shared" si="22"/>
        <v>221</v>
      </c>
      <c r="C246" s="561"/>
      <c r="D246" s="531" t="s">
        <v>1064</v>
      </c>
      <c r="E246" s="524" t="str">
        <f t="shared" si="23"/>
        <v>Pemasangan 1 m’ plint keramik ukuran 10cm x 20cm</v>
      </c>
      <c r="F246" s="544" t="s">
        <v>82</v>
      </c>
      <c r="G246" s="532">
        <f t="shared" si="24"/>
        <v>85172</v>
      </c>
      <c r="I246" s="250"/>
    </row>
    <row r="247" spans="2:9" ht="15" customHeight="1" x14ac:dyDescent="0.2">
      <c r="B247" s="530">
        <f t="shared" si="22"/>
        <v>222</v>
      </c>
      <c r="C247" s="561"/>
      <c r="D247" s="531" t="s">
        <v>1067</v>
      </c>
      <c r="E247" s="524" t="str">
        <f t="shared" si="23"/>
        <v>Pemasangan 1 m’ plint keramik ukuran 10cm x 10cm</v>
      </c>
      <c r="F247" s="544" t="s">
        <v>82</v>
      </c>
      <c r="G247" s="532">
        <f t="shared" si="24"/>
        <v>112932</v>
      </c>
      <c r="I247" s="250"/>
    </row>
    <row r="248" spans="2:9" ht="15" customHeight="1" x14ac:dyDescent="0.2">
      <c r="B248" s="530">
        <f t="shared" si="22"/>
        <v>223</v>
      </c>
      <c r="C248" s="561"/>
      <c r="D248" s="531" t="s">
        <v>1070</v>
      </c>
      <c r="E248" s="524" t="str">
        <f t="shared" si="23"/>
        <v>Pemasangan 1 m’ plint keramik ukuran 5cm x 20cm</v>
      </c>
      <c r="F248" s="544" t="s">
        <v>82</v>
      </c>
      <c r="G248" s="532">
        <f t="shared" si="24"/>
        <v>68967</v>
      </c>
      <c r="I248" s="250"/>
    </row>
    <row r="249" spans="2:9" ht="15" customHeight="1" x14ac:dyDescent="0.2">
      <c r="B249" s="530">
        <f t="shared" si="22"/>
        <v>224</v>
      </c>
      <c r="C249" s="561"/>
      <c r="D249" s="531" t="s">
        <v>1073</v>
      </c>
      <c r="E249" s="524" t="str">
        <f t="shared" si="23"/>
        <v>Pemasangan 1 m’ plint internal cove artistik 5cm x 5cm x 20cm</v>
      </c>
      <c r="F249" s="544" t="s">
        <v>82</v>
      </c>
      <c r="G249" s="532">
        <f t="shared" si="24"/>
        <v>282307</v>
      </c>
      <c r="I249" s="250"/>
    </row>
    <row r="250" spans="2:9" ht="15" customHeight="1" x14ac:dyDescent="0.2">
      <c r="B250" s="530">
        <f t="shared" si="22"/>
        <v>225</v>
      </c>
      <c r="C250" s="561"/>
      <c r="D250" s="531" t="s">
        <v>1076</v>
      </c>
      <c r="E250" s="524" t="str">
        <f t="shared" si="23"/>
        <v>Pemasangan 1 m2 lantai marmer ukuran 100cm x 100cm</v>
      </c>
      <c r="F250" s="544" t="s">
        <v>82</v>
      </c>
      <c r="G250" s="532">
        <f t="shared" si="24"/>
        <v>278619</v>
      </c>
      <c r="I250" s="250"/>
    </row>
    <row r="251" spans="2:9" ht="15" customHeight="1" x14ac:dyDescent="0.2">
      <c r="B251" s="530">
        <f t="shared" si="22"/>
        <v>226</v>
      </c>
      <c r="C251" s="561"/>
      <c r="D251" s="531" t="s">
        <v>1079</v>
      </c>
      <c r="E251" s="524" t="str">
        <f t="shared" si="23"/>
        <v>Pemasangan 1 m2 lantai karpet</v>
      </c>
      <c r="F251" s="544" t="s">
        <v>82</v>
      </c>
      <c r="G251" s="532">
        <f t="shared" si="24"/>
        <v>639549</v>
      </c>
      <c r="I251" s="250"/>
    </row>
    <row r="252" spans="2:9" ht="15" customHeight="1" x14ac:dyDescent="0.2">
      <c r="B252" s="530">
        <f t="shared" si="22"/>
        <v>227</v>
      </c>
      <c r="C252" s="561"/>
      <c r="D252" s="531" t="s">
        <v>1083</v>
      </c>
      <c r="E252" s="524" t="str">
        <f t="shared" si="23"/>
        <v>Pemasangan 1 m2 underlayer (pelapis bawah karpet)</v>
      </c>
      <c r="F252" s="544" t="s">
        <v>82</v>
      </c>
      <c r="G252" s="532">
        <f t="shared" si="24"/>
        <v>85950</v>
      </c>
      <c r="I252" s="250"/>
    </row>
    <row r="253" spans="2:9" ht="15" customHeight="1" x14ac:dyDescent="0.2">
      <c r="B253" s="530">
        <f t="shared" si="22"/>
        <v>228</v>
      </c>
      <c r="C253" s="561"/>
      <c r="D253" s="531" t="s">
        <v>1086</v>
      </c>
      <c r="E253" s="524" t="str">
        <f t="shared" si="23"/>
        <v>Pemasangan 1 m2 lantai parquet kayu</v>
      </c>
      <c r="F253" s="544" t="s">
        <v>82</v>
      </c>
      <c r="G253" s="532">
        <f t="shared" si="24"/>
        <v>196178</v>
      </c>
      <c r="I253" s="250"/>
    </row>
    <row r="254" spans="2:9" ht="15" customHeight="1" x14ac:dyDescent="0.2">
      <c r="B254" s="530">
        <f t="shared" si="22"/>
        <v>229</v>
      </c>
      <c r="C254" s="561"/>
      <c r="D254" s="531" t="s">
        <v>1089</v>
      </c>
      <c r="E254" s="524" t="str">
        <f t="shared" si="23"/>
        <v>Pemasangan 1 m2 lantai  kayu gymfloor</v>
      </c>
      <c r="F254" s="544" t="s">
        <v>82</v>
      </c>
      <c r="G254" s="532">
        <f t="shared" si="24"/>
        <v>598973</v>
      </c>
      <c r="I254" s="250"/>
    </row>
    <row r="255" spans="2:9" ht="15" customHeight="1" x14ac:dyDescent="0.2">
      <c r="B255" s="530">
        <f t="shared" si="22"/>
        <v>230</v>
      </c>
      <c r="C255" s="561"/>
      <c r="D255" s="531" t="s">
        <v>1092</v>
      </c>
      <c r="E255" s="524" t="str">
        <f t="shared" si="23"/>
        <v>Pemasangan 1 m2 dinding porslen 11cm x 11cm</v>
      </c>
      <c r="F255" s="544" t="s">
        <v>82</v>
      </c>
      <c r="G255" s="532">
        <f t="shared" si="24"/>
        <v>947855</v>
      </c>
      <c r="I255" s="250"/>
    </row>
    <row r="256" spans="2:9" ht="15" customHeight="1" x14ac:dyDescent="0.2">
      <c r="B256" s="530">
        <f t="shared" si="22"/>
        <v>231</v>
      </c>
      <c r="C256" s="561"/>
      <c r="D256" s="531" t="s">
        <v>1095</v>
      </c>
      <c r="E256" s="524" t="str">
        <f t="shared" si="23"/>
        <v>Pemasangan 1 m2 dinding porslen 10cm x 20cm</v>
      </c>
      <c r="F256" s="544" t="s">
        <v>82</v>
      </c>
      <c r="G256" s="532">
        <f t="shared" si="24"/>
        <v>590245</v>
      </c>
      <c r="I256" s="250"/>
    </row>
    <row r="257" spans="2:9" ht="15" customHeight="1" x14ac:dyDescent="0.2">
      <c r="B257" s="530">
        <f t="shared" si="22"/>
        <v>232</v>
      </c>
      <c r="C257" s="561"/>
      <c r="D257" s="531" t="s">
        <v>1098</v>
      </c>
      <c r="E257" s="524" t="str">
        <f t="shared" si="23"/>
        <v>Pemasangan 1 m2 dinding porslen 20cm x 20cm</v>
      </c>
      <c r="F257" s="544" t="s">
        <v>82</v>
      </c>
      <c r="G257" s="532">
        <f t="shared" si="24"/>
        <v>494334</v>
      </c>
      <c r="I257" s="250"/>
    </row>
    <row r="258" spans="2:9" ht="15" customHeight="1" x14ac:dyDescent="0.2">
      <c r="B258" s="530">
        <f t="shared" si="22"/>
        <v>233</v>
      </c>
      <c r="C258" s="561"/>
      <c r="D258" s="531" t="s">
        <v>1101</v>
      </c>
      <c r="E258" s="524" t="str">
        <f t="shared" si="23"/>
        <v>Pemasangan 1 m2 dinding keramik artistik  10cm x 20cm</v>
      </c>
      <c r="F258" s="544" t="s">
        <v>82</v>
      </c>
      <c r="G258" s="532">
        <f t="shared" si="24"/>
        <v>357045</v>
      </c>
      <c r="I258" s="250"/>
    </row>
    <row r="259" spans="2:9" ht="15" customHeight="1" x14ac:dyDescent="0.2">
      <c r="B259" s="530">
        <f t="shared" si="22"/>
        <v>234</v>
      </c>
      <c r="C259" s="561"/>
      <c r="D259" s="531" t="s">
        <v>1104</v>
      </c>
      <c r="E259" s="524" t="str">
        <f t="shared" si="23"/>
        <v>Pemasangan 1 m2 dinding keramik artistik  5cm x 20cm</v>
      </c>
      <c r="F259" s="544" t="s">
        <v>82</v>
      </c>
      <c r="G259" s="532">
        <f t="shared" si="24"/>
        <v>503201</v>
      </c>
      <c r="I259" s="250"/>
    </row>
    <row r="260" spans="2:9" ht="15" customHeight="1" x14ac:dyDescent="0.2">
      <c r="B260" s="530">
        <f t="shared" si="22"/>
        <v>235</v>
      </c>
      <c r="C260" s="561"/>
      <c r="D260" s="531" t="s">
        <v>1107</v>
      </c>
      <c r="E260" s="524" t="str">
        <f t="shared" si="23"/>
        <v>Pemasangan 1 m2 dinding keramik 10cm x 20cm</v>
      </c>
      <c r="F260" s="544" t="s">
        <v>82</v>
      </c>
      <c r="G260" s="532">
        <f t="shared" si="24"/>
        <v>374535</v>
      </c>
      <c r="I260" s="258"/>
    </row>
    <row r="261" spans="2:9" ht="15" customHeight="1" x14ac:dyDescent="0.2">
      <c r="B261" s="530">
        <f t="shared" si="22"/>
        <v>236</v>
      </c>
      <c r="C261" s="561"/>
      <c r="D261" s="531" t="s">
        <v>1110</v>
      </c>
      <c r="E261" s="524" t="str">
        <f t="shared" si="23"/>
        <v>Pemasangan 1 m2 dinding keramik  20cm x 20cm</v>
      </c>
      <c r="F261" s="544" t="s">
        <v>82</v>
      </c>
      <c r="G261" s="532">
        <f t="shared" si="24"/>
        <v>366514</v>
      </c>
      <c r="I261" s="250"/>
    </row>
    <row r="262" spans="2:9" ht="15" customHeight="1" x14ac:dyDescent="0.2">
      <c r="B262" s="530">
        <f t="shared" si="22"/>
        <v>237</v>
      </c>
      <c r="C262" s="561"/>
      <c r="D262" s="531" t="s">
        <v>1113</v>
      </c>
      <c r="E262" s="524" t="str">
        <f t="shared" si="23"/>
        <v>Pemasangan 1 m2 dinding marmer 100cm x 100cm</v>
      </c>
      <c r="F262" s="544" t="s">
        <v>82</v>
      </c>
      <c r="G262" s="532">
        <f t="shared" si="24"/>
        <v>605666</v>
      </c>
      <c r="I262" s="250"/>
    </row>
    <row r="263" spans="2:9" ht="15" customHeight="1" x14ac:dyDescent="0.2">
      <c r="B263" s="530">
        <f t="shared" si="22"/>
        <v>238</v>
      </c>
      <c r="C263" s="561"/>
      <c r="D263" s="531" t="s">
        <v>1116</v>
      </c>
      <c r="E263" s="524" t="str">
        <f t="shared" si="23"/>
        <v>Pemasangan 1 m2 dinding bata pelapis 3cm x 7cm x 24cm</v>
      </c>
      <c r="F263" s="544" t="s">
        <v>82</v>
      </c>
      <c r="G263" s="532">
        <f t="shared" si="24"/>
        <v>336775</v>
      </c>
      <c r="I263" s="250"/>
    </row>
    <row r="264" spans="2:9" ht="15" customHeight="1" x14ac:dyDescent="0.2">
      <c r="B264" s="530">
        <f t="shared" si="22"/>
        <v>239</v>
      </c>
      <c r="C264" s="561"/>
      <c r="D264" s="531" t="s">
        <v>1119</v>
      </c>
      <c r="E264" s="524" t="str">
        <f t="shared" si="23"/>
        <v>Pemasangan 1 m2 dinding batu paras</v>
      </c>
      <c r="F264" s="544" t="s">
        <v>82</v>
      </c>
      <c r="G264" s="532">
        <f t="shared" si="24"/>
        <v>314212</v>
      </c>
      <c r="I264" s="250"/>
    </row>
    <row r="265" spans="2:9" ht="15" customHeight="1" x14ac:dyDescent="0.2">
      <c r="B265" s="530">
        <f t="shared" si="22"/>
        <v>240</v>
      </c>
      <c r="C265" s="561"/>
      <c r="D265" s="531" t="s">
        <v>1122</v>
      </c>
      <c r="E265" s="524" t="str">
        <f t="shared" si="23"/>
        <v>Pemasangan 1 m2 dinding batu tempel hitam</v>
      </c>
      <c r="F265" s="544" t="s">
        <v>82</v>
      </c>
      <c r="G265" s="532">
        <f t="shared" si="24"/>
        <v>220921</v>
      </c>
      <c r="I265" s="250"/>
    </row>
    <row r="266" spans="2:9" ht="15" customHeight="1" x14ac:dyDescent="0.2">
      <c r="B266" s="530">
        <f t="shared" si="22"/>
        <v>241</v>
      </c>
      <c r="C266" s="561"/>
      <c r="D266" s="531" t="s">
        <v>1125</v>
      </c>
      <c r="E266" s="524" t="str">
        <f t="shared" si="23"/>
        <v>Pemasangan 1 m2 lantai vynil ukuran 30cm x 30cm</v>
      </c>
      <c r="F266" s="544" t="s">
        <v>82</v>
      </c>
      <c r="G266" s="532">
        <f t="shared" si="24"/>
        <v>324031</v>
      </c>
      <c r="I266" s="250"/>
    </row>
    <row r="267" spans="2:9" ht="15" customHeight="1" x14ac:dyDescent="0.2">
      <c r="B267" s="530">
        <f t="shared" si="22"/>
        <v>242</v>
      </c>
      <c r="C267" s="561"/>
      <c r="D267" s="531" t="s">
        <v>1128</v>
      </c>
      <c r="E267" s="524" t="str">
        <f t="shared" si="23"/>
        <v>Pemasangan 1 m2 wallpaper lebar 50 cm</v>
      </c>
      <c r="F267" s="544" t="s">
        <v>82</v>
      </c>
      <c r="G267" s="532">
        <f t="shared" si="24"/>
        <v>146198</v>
      </c>
      <c r="I267" s="250"/>
    </row>
    <row r="268" spans="2:9" ht="15" customHeight="1" x14ac:dyDescent="0.2">
      <c r="B268" s="530">
        <f t="shared" si="22"/>
        <v>243</v>
      </c>
      <c r="C268" s="561"/>
      <c r="D268" s="531" t="s">
        <v>1132</v>
      </c>
      <c r="E268" s="524" t="str">
        <f t="shared" si="23"/>
        <v>Pemasangan 1m2 floor harderner</v>
      </c>
      <c r="F268" s="544" t="s">
        <v>82</v>
      </c>
      <c r="G268" s="532">
        <f t="shared" si="24"/>
        <v>63360</v>
      </c>
      <c r="I268" s="250"/>
    </row>
    <row r="269" spans="2:9" ht="15" customHeight="1" x14ac:dyDescent="0.2">
      <c r="B269" s="530">
        <f t="shared" si="22"/>
        <v>244</v>
      </c>
      <c r="C269" s="561"/>
      <c r="D269" s="531" t="s">
        <v>1135</v>
      </c>
      <c r="E269" s="524" t="str">
        <f t="shared" si="23"/>
        <v>Pemasangan 1 m’ plint vynil 15cm x 30cm</v>
      </c>
      <c r="F269" s="544" t="s">
        <v>82</v>
      </c>
      <c r="G269" s="532">
        <f t="shared" si="24"/>
        <v>83398</v>
      </c>
      <c r="I269" s="250"/>
    </row>
    <row r="270" spans="2:9" ht="15" customHeight="1" x14ac:dyDescent="0.2">
      <c r="B270" s="530">
        <f t="shared" si="22"/>
        <v>245</v>
      </c>
      <c r="C270" s="561"/>
      <c r="D270" s="531" t="s">
        <v>1138</v>
      </c>
      <c r="E270" s="524" t="str">
        <f t="shared" si="23"/>
        <v>Pemasangan 1 m’ plint kayu tebal 2 cm lebar 10 cm</v>
      </c>
      <c r="F270" s="544" t="s">
        <v>82</v>
      </c>
      <c r="G270" s="532">
        <f t="shared" si="24"/>
        <v>64091</v>
      </c>
      <c r="I270" s="250"/>
    </row>
    <row r="271" spans="2:9" ht="15" customHeight="1" x14ac:dyDescent="0.2">
      <c r="B271" s="530">
        <f t="shared" si="22"/>
        <v>246</v>
      </c>
      <c r="C271" s="561"/>
      <c r="D271" s="531" t="s">
        <v>1141</v>
      </c>
      <c r="E271" s="524" t="str">
        <f t="shared" si="23"/>
        <v xml:space="preserve">Pemasangan 1 m2 paving block natural tebal 6 cm </v>
      </c>
      <c r="F271" s="544" t="s">
        <v>82</v>
      </c>
      <c r="G271" s="532">
        <f t="shared" si="24"/>
        <v>291536</v>
      </c>
      <c r="I271" s="250"/>
    </row>
    <row r="272" spans="2:9" ht="15" customHeight="1" x14ac:dyDescent="0.2">
      <c r="B272" s="530">
        <f t="shared" si="22"/>
        <v>247</v>
      </c>
      <c r="C272" s="561"/>
      <c r="D272" s="531" t="s">
        <v>1148</v>
      </c>
      <c r="E272" s="524" t="str">
        <f t="shared" si="23"/>
        <v xml:space="preserve">Pemasangan 1 m2 paving block natural tebal 8 cm </v>
      </c>
      <c r="F272" s="544" t="s">
        <v>82</v>
      </c>
      <c r="G272" s="532">
        <f t="shared" si="24"/>
        <v>115041</v>
      </c>
      <c r="I272" s="250"/>
    </row>
    <row r="273" spans="2:9" ht="15" customHeight="1" x14ac:dyDescent="0.2">
      <c r="B273" s="530">
        <f t="shared" ref="B273:B335" si="25">B272+1</f>
        <v>248</v>
      </c>
      <c r="C273" s="561"/>
      <c r="D273" s="531" t="s">
        <v>1151</v>
      </c>
      <c r="E273" s="524" t="str">
        <f t="shared" ref="E273:E275" si="26">VLOOKUP(D273,AHSP,2,FALSE)</f>
        <v>Pemasangan 1 m2 paving block berwarna tebal 6 cm</v>
      </c>
      <c r="F273" s="544" t="s">
        <v>82</v>
      </c>
      <c r="G273" s="532">
        <f t="shared" ref="G273:G275" si="27">VLOOKUP(D273,AHSP,9,FALSE)</f>
        <v>303573</v>
      </c>
      <c r="I273" s="250"/>
    </row>
    <row r="274" spans="2:9" ht="15" customHeight="1" x14ac:dyDescent="0.2">
      <c r="B274" s="530">
        <f t="shared" si="25"/>
        <v>249</v>
      </c>
      <c r="C274" s="561"/>
      <c r="D274" s="531" t="s">
        <v>1154</v>
      </c>
      <c r="E274" s="524" t="str">
        <f t="shared" si="26"/>
        <v xml:space="preserve">Pemasangan 1 m2 paving block berwarna tebal 8 cm </v>
      </c>
      <c r="F274" s="544" t="s">
        <v>82</v>
      </c>
      <c r="G274" s="532">
        <f t="shared" si="27"/>
        <v>281002</v>
      </c>
      <c r="I274" s="250"/>
    </row>
    <row r="275" spans="2:9" ht="15" customHeight="1" x14ac:dyDescent="0.2">
      <c r="B275" s="530">
        <f t="shared" si="25"/>
        <v>250</v>
      </c>
      <c r="C275" s="561"/>
      <c r="D275" s="531" t="s">
        <v>1157</v>
      </c>
      <c r="E275" s="524" t="str">
        <f t="shared" si="26"/>
        <v>Pemasangan 1 M2 Aluminium Composite Panel</v>
      </c>
      <c r="F275" s="544" t="s">
        <v>82</v>
      </c>
      <c r="G275" s="532">
        <f t="shared" si="27"/>
        <v>203649</v>
      </c>
      <c r="I275" s="250"/>
    </row>
    <row r="276" spans="2:9" ht="15" customHeight="1" x14ac:dyDescent="0.2">
      <c r="B276" s="530"/>
      <c r="C276" s="561"/>
      <c r="D276" s="536"/>
      <c r="E276" s="536"/>
      <c r="F276" s="543"/>
      <c r="G276" s="546"/>
      <c r="I276" s="250"/>
    </row>
    <row r="277" spans="2:9" ht="15" customHeight="1" x14ac:dyDescent="0.2">
      <c r="B277" s="530"/>
      <c r="C277" s="563" t="s">
        <v>1161</v>
      </c>
      <c r="D277" s="556" t="s">
        <v>1162</v>
      </c>
      <c r="E277" s="557"/>
      <c r="F277" s="543"/>
      <c r="G277" s="532"/>
      <c r="I277" s="250"/>
    </row>
    <row r="278" spans="2:9" ht="15" customHeight="1" x14ac:dyDescent="0.2">
      <c r="B278" s="530">
        <f>B275+1</f>
        <v>251</v>
      </c>
      <c r="C278" s="561"/>
      <c r="D278" s="536" t="s">
        <v>1163</v>
      </c>
      <c r="E278" s="524" t="str">
        <f t="shared" ref="E278:E287" si="28">VLOOKUP(D278,AHSP,2,FALSE)</f>
        <v>Pemasangan 1 m2 langit-langit asbes semen, tebal  4 mm, 5 mm, dan 6 mm</v>
      </c>
      <c r="F278" s="544" t="s">
        <v>82</v>
      </c>
      <c r="G278" s="532">
        <f t="shared" ref="G278:G287" si="29">VLOOKUP(D278,AHSP,9,FALSE)</f>
        <v>126353</v>
      </c>
      <c r="I278" s="250"/>
    </row>
    <row r="279" spans="2:9" ht="15" customHeight="1" x14ac:dyDescent="0.2">
      <c r="B279" s="530">
        <f t="shared" si="25"/>
        <v>252</v>
      </c>
      <c r="C279" s="561"/>
      <c r="D279" s="531" t="s">
        <v>1167</v>
      </c>
      <c r="E279" s="524" t="str">
        <f t="shared" si="28"/>
        <v>Pemasangan 1 m2 langit-langit akustik  ukuran (30 x 30) cm</v>
      </c>
      <c r="F279" s="544" t="s">
        <v>82</v>
      </c>
      <c r="G279" s="532">
        <f t="shared" si="29"/>
        <v>604457</v>
      </c>
      <c r="I279" s="250"/>
    </row>
    <row r="280" spans="2:9" ht="15" customHeight="1" x14ac:dyDescent="0.2">
      <c r="B280" s="530">
        <f t="shared" si="25"/>
        <v>253</v>
      </c>
      <c r="C280" s="561"/>
      <c r="D280" s="536" t="s">
        <v>1170</v>
      </c>
      <c r="E280" s="524" t="str">
        <f t="shared" si="28"/>
        <v>Pemasangan 1 m2 langit-langit akustik  ukuran (30 x 60) cm</v>
      </c>
      <c r="F280" s="544" t="s">
        <v>82</v>
      </c>
      <c r="G280" s="532">
        <f t="shared" si="29"/>
        <v>458388</v>
      </c>
      <c r="I280" s="250"/>
    </row>
    <row r="281" spans="2:9" ht="15" customHeight="1" x14ac:dyDescent="0.2">
      <c r="B281" s="530">
        <f t="shared" si="25"/>
        <v>254</v>
      </c>
      <c r="C281" s="561"/>
      <c r="D281" s="531" t="s">
        <v>1173</v>
      </c>
      <c r="E281" s="524" t="str">
        <f t="shared" si="28"/>
        <v>Pemasangan 1 m2 langit-langit akustik  ukuran (60 x 120) cm</v>
      </c>
      <c r="F281" s="544" t="s">
        <v>82</v>
      </c>
      <c r="G281" s="532">
        <f t="shared" si="29"/>
        <v>293993</v>
      </c>
      <c r="I281" s="250"/>
    </row>
    <row r="282" spans="2:9" ht="23.1" customHeight="1" x14ac:dyDescent="0.2">
      <c r="B282" s="530">
        <f t="shared" si="25"/>
        <v>255</v>
      </c>
      <c r="C282" s="561"/>
      <c r="D282" s="536" t="s">
        <v>1176</v>
      </c>
      <c r="E282" s="524" t="str">
        <f t="shared" si="28"/>
        <v>Pemasangan 1 m2  langit-langit tripleks ukuran (120 x 240) cm, tebal 3 mm, 4 mm &amp; 6</v>
      </c>
      <c r="F282" s="544" t="s">
        <v>82</v>
      </c>
      <c r="G282" s="532">
        <f t="shared" si="29"/>
        <v>53113</v>
      </c>
      <c r="I282" s="250"/>
    </row>
    <row r="283" spans="2:9" ht="15" customHeight="1" x14ac:dyDescent="0.2">
      <c r="B283" s="530">
        <f t="shared" si="25"/>
        <v>256</v>
      </c>
      <c r="C283" s="561"/>
      <c r="D283" s="531" t="s">
        <v>1179</v>
      </c>
      <c r="E283" s="524" t="str">
        <f t="shared" si="28"/>
        <v>Pemasangan 1 m2 langit-langit lambrisering kayu, tebal 9 mm</v>
      </c>
      <c r="F283" s="544" t="s">
        <v>82</v>
      </c>
      <c r="G283" s="532">
        <f t="shared" si="29"/>
        <v>338493</v>
      </c>
      <c r="I283" s="250"/>
    </row>
    <row r="284" spans="2:9" s="252" customFormat="1" ht="23.1" customHeight="1" x14ac:dyDescent="0.25">
      <c r="B284" s="530">
        <f t="shared" si="25"/>
        <v>257</v>
      </c>
      <c r="C284" s="562"/>
      <c r="D284" s="536" t="s">
        <v>1182</v>
      </c>
      <c r="E284" s="524" t="str">
        <f t="shared" si="28"/>
        <v>Pemasangan 1 m2 langit-langit gypsum board ukuran (120x240x9) mm, tebal 9 mm</v>
      </c>
      <c r="F284" s="544" t="s">
        <v>82</v>
      </c>
      <c r="G284" s="532">
        <f t="shared" si="29"/>
        <v>64700</v>
      </c>
      <c r="I284" s="253"/>
    </row>
    <row r="285" spans="2:9" s="252" customFormat="1" ht="15" customHeight="1" x14ac:dyDescent="0.25">
      <c r="B285" s="530">
        <f t="shared" si="25"/>
        <v>258</v>
      </c>
      <c r="C285" s="562"/>
      <c r="D285" s="531" t="s">
        <v>1185</v>
      </c>
      <c r="E285" s="524" t="str">
        <f t="shared" si="28"/>
        <v>Pemasangan list langit-langit gypsum</v>
      </c>
      <c r="F285" s="544" t="s">
        <v>82</v>
      </c>
      <c r="G285" s="532">
        <f t="shared" si="29"/>
        <v>41910</v>
      </c>
      <c r="I285" s="259"/>
    </row>
    <row r="286" spans="2:9" ht="23.1" customHeight="1" x14ac:dyDescent="0.2">
      <c r="B286" s="530">
        <f t="shared" si="25"/>
        <v>259</v>
      </c>
      <c r="C286" s="561"/>
      <c r="D286" s="536" t="s">
        <v>1190</v>
      </c>
      <c r="E286" s="524" t="str">
        <f t="shared" si="28"/>
        <v>Pemasangan 1  m2   langit-langit  akustik  ukuran (60  x 120)  cm berikut  rangka alluminium</v>
      </c>
      <c r="F286" s="544" t="s">
        <v>127</v>
      </c>
      <c r="G286" s="532">
        <f t="shared" si="29"/>
        <v>486771</v>
      </c>
      <c r="I286" s="250"/>
    </row>
    <row r="287" spans="2:9" ht="15" customHeight="1" x14ac:dyDescent="0.2">
      <c r="B287" s="530">
        <f t="shared" si="25"/>
        <v>260</v>
      </c>
      <c r="C287" s="561"/>
      <c r="D287" s="531" t="s">
        <v>1193</v>
      </c>
      <c r="E287" s="524" t="str">
        <f t="shared" si="28"/>
        <v>Pemasangan 1 m’ list langit-langit kayu profil</v>
      </c>
      <c r="F287" s="544" t="s">
        <v>82</v>
      </c>
      <c r="G287" s="532">
        <f t="shared" si="29"/>
        <v>20955</v>
      </c>
      <c r="I287" s="250"/>
    </row>
    <row r="288" spans="2:9" ht="15" customHeight="1" x14ac:dyDescent="0.2">
      <c r="B288" s="530">
        <f t="shared" si="25"/>
        <v>261</v>
      </c>
      <c r="C288" s="562"/>
      <c r="D288" s="536" t="s">
        <v>1886</v>
      </c>
      <c r="E288" s="524" t="str">
        <f t="shared" ref="E288:E290" si="30">VLOOKUP(D288,AHSP,2,FALSE)</f>
        <v>Pemasangan 1 m2  rangka besi hollow 1x40.40.2mm, modul 60 x 60 cm, plafon</v>
      </c>
      <c r="F288" s="544" t="s">
        <v>82</v>
      </c>
      <c r="G288" s="532">
        <f t="shared" ref="G288:G290" si="31">VLOOKUP(D288,AHSP,9,FALSE)</f>
        <v>423593</v>
      </c>
      <c r="I288" s="250"/>
    </row>
    <row r="289" spans="2:9" ht="23.1" customHeight="1" x14ac:dyDescent="0.2">
      <c r="B289" s="530">
        <f t="shared" si="25"/>
        <v>262</v>
      </c>
      <c r="C289" s="561"/>
      <c r="D289" s="531" t="s">
        <v>1887</v>
      </c>
      <c r="E289" s="524" t="str">
        <f t="shared" si="30"/>
        <v>Pemasangan 1 m2 Langit-langit Akustik Ukuran 60 cm x 120 cm Berikut Rangka Aluminium Hollow 40.40</v>
      </c>
      <c r="F289" s="544" t="s">
        <v>82</v>
      </c>
      <c r="G289" s="532">
        <f t="shared" si="31"/>
        <v>508472</v>
      </c>
      <c r="I289" s="250"/>
    </row>
    <row r="290" spans="2:9" ht="15" customHeight="1" x14ac:dyDescent="0.2">
      <c r="B290" s="530">
        <f t="shared" si="25"/>
        <v>263</v>
      </c>
      <c r="C290" s="561"/>
      <c r="D290" s="536" t="s">
        <v>1888</v>
      </c>
      <c r="E290" s="524" t="str">
        <f t="shared" si="30"/>
        <v>Pemasangan 1 m2 Plafond PVC</v>
      </c>
      <c r="F290" s="544" t="s">
        <v>82</v>
      </c>
      <c r="G290" s="532">
        <f t="shared" si="31"/>
        <v>244650</v>
      </c>
      <c r="I290" s="250"/>
    </row>
    <row r="291" spans="2:9" ht="15" customHeight="1" x14ac:dyDescent="0.2">
      <c r="B291" s="530"/>
      <c r="C291" s="561"/>
      <c r="D291" s="536"/>
      <c r="E291" s="536"/>
      <c r="F291" s="543"/>
      <c r="G291" s="546"/>
      <c r="I291" s="250"/>
    </row>
    <row r="292" spans="2:9" ht="15" customHeight="1" x14ac:dyDescent="0.2">
      <c r="B292" s="530"/>
      <c r="C292" s="563" t="s">
        <v>1196</v>
      </c>
      <c r="D292" s="556" t="s">
        <v>1197</v>
      </c>
      <c r="E292" s="557"/>
      <c r="F292" s="543"/>
      <c r="G292" s="532"/>
      <c r="I292" s="250"/>
    </row>
    <row r="293" spans="2:9" ht="15" customHeight="1" x14ac:dyDescent="0.2">
      <c r="B293" s="530">
        <f>B290+1</f>
        <v>264</v>
      </c>
      <c r="C293" s="561"/>
      <c r="D293" s="531" t="s">
        <v>1198</v>
      </c>
      <c r="E293" s="524" t="str">
        <f t="shared" ref="E293:E335" si="32">VLOOKUP(D293,AHSP,2,FALSE)</f>
        <v>Pemasangan 1 m2 atap genteng palentong kecil</v>
      </c>
      <c r="F293" s="544" t="s">
        <v>82</v>
      </c>
      <c r="G293" s="532">
        <f t="shared" ref="G293:G335" si="33">VLOOKUP(D293,AHSP,9,FALSE)</f>
        <v>115607</v>
      </c>
      <c r="I293" s="250"/>
    </row>
    <row r="294" spans="2:9" ht="15" customHeight="1" x14ac:dyDescent="0.2">
      <c r="B294" s="530">
        <f t="shared" si="25"/>
        <v>265</v>
      </c>
      <c r="C294" s="561"/>
      <c r="D294" s="531" t="s">
        <v>1201</v>
      </c>
      <c r="E294" s="524" t="str">
        <f t="shared" si="32"/>
        <v>Pemasangan 1 m2 atap genteng kodok glazuur</v>
      </c>
      <c r="F294" s="544" t="s">
        <v>82</v>
      </c>
      <c r="G294" s="532">
        <f t="shared" si="33"/>
        <v>85173</v>
      </c>
      <c r="I294" s="250"/>
    </row>
    <row r="295" spans="2:9" ht="15" customHeight="1" x14ac:dyDescent="0.2">
      <c r="B295" s="530">
        <f t="shared" si="25"/>
        <v>266</v>
      </c>
      <c r="C295" s="561"/>
      <c r="D295" s="531" t="s">
        <v>1204</v>
      </c>
      <c r="E295" s="524" t="str">
        <f t="shared" si="32"/>
        <v>Pemasangan 1 m2 atap genteng palentong besar/super</v>
      </c>
      <c r="F295" s="544" t="s">
        <v>82</v>
      </c>
      <c r="G295" s="532">
        <f t="shared" si="33"/>
        <v>59576</v>
      </c>
      <c r="I295" s="250"/>
    </row>
    <row r="296" spans="2:9" ht="15" customHeight="1" x14ac:dyDescent="0.2">
      <c r="B296" s="530">
        <f t="shared" si="25"/>
        <v>267</v>
      </c>
      <c r="C296" s="561"/>
      <c r="D296" s="531" t="s">
        <v>1206</v>
      </c>
      <c r="E296" s="524" t="str">
        <f t="shared" si="32"/>
        <v>Pemasangan 1 m’ bubung genteng  palentong</v>
      </c>
      <c r="F296" s="544"/>
      <c r="G296" s="532">
        <f t="shared" si="33"/>
        <v>151296</v>
      </c>
      <c r="I296" s="250"/>
    </row>
    <row r="297" spans="2:9" ht="15" customHeight="1" x14ac:dyDescent="0.2">
      <c r="B297" s="530">
        <f t="shared" si="25"/>
        <v>268</v>
      </c>
      <c r="C297" s="561"/>
      <c r="D297" s="531" t="s">
        <v>1209</v>
      </c>
      <c r="E297" s="524" t="str">
        <f t="shared" si="32"/>
        <v>Pemasangan 1 m’  bubung genteng kodok glazuur</v>
      </c>
      <c r="F297" s="544"/>
      <c r="G297" s="532">
        <f t="shared" si="33"/>
        <v>151296</v>
      </c>
      <c r="I297" s="250"/>
    </row>
    <row r="298" spans="2:9" ht="15" customHeight="1" x14ac:dyDescent="0.2">
      <c r="B298" s="530">
        <f t="shared" si="25"/>
        <v>269</v>
      </c>
      <c r="C298" s="561"/>
      <c r="D298" s="531" t="s">
        <v>1211</v>
      </c>
      <c r="E298" s="524" t="str">
        <f t="shared" si="32"/>
        <v>Pemasangan 1 m’  bubung genteng palentong besar</v>
      </c>
      <c r="F298" s="544"/>
      <c r="G298" s="532">
        <f t="shared" si="33"/>
        <v>144531</v>
      </c>
      <c r="I298" s="250"/>
    </row>
    <row r="299" spans="2:9" ht="15" customHeight="1" x14ac:dyDescent="0.2">
      <c r="B299" s="530">
        <f t="shared" si="25"/>
        <v>270</v>
      </c>
      <c r="C299" s="561"/>
      <c r="D299" s="531" t="s">
        <v>1213</v>
      </c>
      <c r="E299" s="524" t="str">
        <f t="shared" si="32"/>
        <v>Pemasangan 1 m2  roof light fibreglass 90x180</v>
      </c>
      <c r="F299" s="544" t="s">
        <v>82</v>
      </c>
      <c r="G299" s="532">
        <f t="shared" si="33"/>
        <v>129462</v>
      </c>
      <c r="I299" s="250"/>
    </row>
    <row r="300" spans="2:9" ht="15" customHeight="1" x14ac:dyDescent="0.2">
      <c r="B300" s="530">
        <f t="shared" si="25"/>
        <v>271</v>
      </c>
      <c r="C300" s="561"/>
      <c r="D300" s="531" t="s">
        <v>1216</v>
      </c>
      <c r="E300" s="524" t="str">
        <f t="shared" si="32"/>
        <v>Pemasangan 1 m2  atap asbes gelombang  0,92mx2,5m x 5mm</v>
      </c>
      <c r="F300" s="544" t="s">
        <v>82</v>
      </c>
      <c r="G300" s="532">
        <f t="shared" si="33"/>
        <v>108906</v>
      </c>
      <c r="I300" s="250"/>
    </row>
    <row r="301" spans="2:9" ht="15" customHeight="1" x14ac:dyDescent="0.2">
      <c r="B301" s="530">
        <f t="shared" si="25"/>
        <v>272</v>
      </c>
      <c r="C301" s="561"/>
      <c r="D301" s="531" t="s">
        <v>1220</v>
      </c>
      <c r="E301" s="524" t="str">
        <f t="shared" si="32"/>
        <v>Pemasangan 1 m2  atap asbes gelombang  0,92mx2,25m x 5mm</v>
      </c>
      <c r="F301" s="544" t="s">
        <v>82</v>
      </c>
      <c r="G301" s="532">
        <f t="shared" si="33"/>
        <v>123383</v>
      </c>
      <c r="I301" s="250"/>
    </row>
    <row r="302" spans="2:9" ht="15" customHeight="1" x14ac:dyDescent="0.2">
      <c r="B302" s="530">
        <f t="shared" si="25"/>
        <v>273</v>
      </c>
      <c r="C302" s="561"/>
      <c r="D302" s="531" t="s">
        <v>1222</v>
      </c>
      <c r="E302" s="524" t="str">
        <f t="shared" si="32"/>
        <v>Pemasangan 1 m2  atap asbes gelombang  0,92mx2,00m x 5mm</v>
      </c>
      <c r="F302" s="544" t="s">
        <v>82</v>
      </c>
      <c r="G302" s="532">
        <f t="shared" si="33"/>
        <v>122190</v>
      </c>
      <c r="I302" s="250"/>
    </row>
    <row r="303" spans="2:9" ht="15" customHeight="1" x14ac:dyDescent="0.2">
      <c r="B303" s="530">
        <f t="shared" si="25"/>
        <v>274</v>
      </c>
      <c r="C303" s="561"/>
      <c r="D303" s="531" t="s">
        <v>1224</v>
      </c>
      <c r="E303" s="524" t="str">
        <f t="shared" si="32"/>
        <v>Pemasangan 1 m2  atap asbes gelombang  0,92mx1.80m x 5mm</v>
      </c>
      <c r="F303" s="544" t="s">
        <v>82</v>
      </c>
      <c r="G303" s="532">
        <f t="shared" si="33"/>
        <v>143906</v>
      </c>
      <c r="I303" s="250"/>
    </row>
    <row r="304" spans="2:9" ht="15" customHeight="1" x14ac:dyDescent="0.2">
      <c r="B304" s="530">
        <f t="shared" si="25"/>
        <v>275</v>
      </c>
      <c r="C304" s="561"/>
      <c r="D304" s="531" t="s">
        <v>1226</v>
      </c>
      <c r="E304" s="524" t="str">
        <f t="shared" si="32"/>
        <v>Pemasangan 1 m2  atap asbes gelombang  1.05mx3.00m x 4mm</v>
      </c>
      <c r="F304" s="544" t="s">
        <v>82</v>
      </c>
      <c r="G304" s="532">
        <f t="shared" si="33"/>
        <v>85997</v>
      </c>
      <c r="I304" s="250"/>
    </row>
    <row r="305" spans="2:9" ht="15" customHeight="1" x14ac:dyDescent="0.2">
      <c r="B305" s="530">
        <f t="shared" si="25"/>
        <v>276</v>
      </c>
      <c r="C305" s="561"/>
      <c r="D305" s="531" t="s">
        <v>1228</v>
      </c>
      <c r="E305" s="524" t="str">
        <f t="shared" si="32"/>
        <v>Pemasangan 1 m2  atap asbes gelombang  1.05mx2.70m x 4mm</v>
      </c>
      <c r="F305" s="544" t="s">
        <v>82</v>
      </c>
      <c r="G305" s="532">
        <f t="shared" si="33"/>
        <v>96131</v>
      </c>
      <c r="I305" s="250"/>
    </row>
    <row r="306" spans="2:9" ht="15" customHeight="1" x14ac:dyDescent="0.2">
      <c r="B306" s="530">
        <f t="shared" si="25"/>
        <v>277</v>
      </c>
      <c r="C306" s="561"/>
      <c r="D306" s="531" t="s">
        <v>1230</v>
      </c>
      <c r="E306" s="524" t="str">
        <f t="shared" si="32"/>
        <v>Pemasangan 1 m2  atap asbes gelombang  1.05mx2.40m x 4mm</v>
      </c>
      <c r="F306" s="544" t="s">
        <v>82</v>
      </c>
      <c r="G306" s="532">
        <f t="shared" si="33"/>
        <v>99027</v>
      </c>
      <c r="I306" s="250"/>
    </row>
    <row r="307" spans="2:9" ht="15" customHeight="1" x14ac:dyDescent="0.2">
      <c r="B307" s="530">
        <f t="shared" si="25"/>
        <v>278</v>
      </c>
      <c r="C307" s="561"/>
      <c r="D307" s="531" t="s">
        <v>1232</v>
      </c>
      <c r="E307" s="524" t="str">
        <f t="shared" si="32"/>
        <v>Pemasangan 1 m2  atap asbes gelombang  1.05mx2.10m x 4mm</v>
      </c>
      <c r="F307" s="544" t="s">
        <v>82</v>
      </c>
      <c r="G307" s="532">
        <f t="shared" si="33"/>
        <v>109161</v>
      </c>
      <c r="I307" s="250"/>
    </row>
    <row r="308" spans="2:9" ht="15" customHeight="1" x14ac:dyDescent="0.2">
      <c r="B308" s="530">
        <f t="shared" si="25"/>
        <v>279</v>
      </c>
      <c r="C308" s="561"/>
      <c r="D308" s="531" t="s">
        <v>1234</v>
      </c>
      <c r="E308" s="524" t="str">
        <f t="shared" si="32"/>
        <v>Pemasangan 1 m2   atap asbes gelombang  1.05mx1.50m x 4mm</v>
      </c>
      <c r="F308" s="544" t="s">
        <v>82</v>
      </c>
      <c r="G308" s="532">
        <f t="shared" si="33"/>
        <v>151144</v>
      </c>
      <c r="I308" s="250"/>
    </row>
    <row r="309" spans="2:9" ht="15" customHeight="1" x14ac:dyDescent="0.2">
      <c r="B309" s="530">
        <f t="shared" si="25"/>
        <v>280</v>
      </c>
      <c r="C309" s="561"/>
      <c r="D309" s="531" t="s">
        <v>1236</v>
      </c>
      <c r="E309" s="524" t="str">
        <f t="shared" si="32"/>
        <v>Pemasangan 1 m2   atap asbes gelombang  1.08mx3.00m x 6mm</v>
      </c>
      <c r="F309" s="544" t="s">
        <v>82</v>
      </c>
      <c r="G309" s="532">
        <f t="shared" si="33"/>
        <v>88893</v>
      </c>
      <c r="I309" s="250"/>
    </row>
    <row r="310" spans="2:9" ht="15" customHeight="1" x14ac:dyDescent="0.2">
      <c r="B310" s="530">
        <f t="shared" si="25"/>
        <v>281</v>
      </c>
      <c r="C310" s="561"/>
      <c r="D310" s="531" t="s">
        <v>1238</v>
      </c>
      <c r="E310" s="524" t="str">
        <f t="shared" si="32"/>
        <v>Pemasangan 1 m2   atap asbes gelombang  1.08mx2.70m x 6mm</v>
      </c>
      <c r="F310" s="544" t="s">
        <v>82</v>
      </c>
      <c r="G310" s="532">
        <f t="shared" si="33"/>
        <v>90340</v>
      </c>
      <c r="I310" s="250"/>
    </row>
    <row r="311" spans="2:9" ht="15" customHeight="1" x14ac:dyDescent="0.2">
      <c r="B311" s="530">
        <f t="shared" si="25"/>
        <v>282</v>
      </c>
      <c r="C311" s="561"/>
      <c r="D311" s="531" t="s">
        <v>1240</v>
      </c>
      <c r="E311" s="524" t="str">
        <f t="shared" si="32"/>
        <v>Pemasangan 1 m2   atap asbes gelombang  1.08mx2.40m x 6mm</v>
      </c>
      <c r="F311" s="544" t="s">
        <v>82</v>
      </c>
      <c r="G311" s="532">
        <f t="shared" si="33"/>
        <v>101922</v>
      </c>
      <c r="I311" s="250"/>
    </row>
    <row r="312" spans="2:9" ht="15" customHeight="1" x14ac:dyDescent="0.2">
      <c r="B312" s="530">
        <f t="shared" si="25"/>
        <v>283</v>
      </c>
      <c r="C312" s="561"/>
      <c r="D312" s="531" t="s">
        <v>1242</v>
      </c>
      <c r="E312" s="524" t="str">
        <f t="shared" si="32"/>
        <v>Pemasangan 1 m2   atap asbes gelombang  1.08mx2.10m x 6mm</v>
      </c>
      <c r="F312" s="544" t="s">
        <v>82</v>
      </c>
      <c r="G312" s="532">
        <f t="shared" si="33"/>
        <v>106265</v>
      </c>
      <c r="I312" s="250"/>
    </row>
    <row r="313" spans="2:9" ht="15" customHeight="1" x14ac:dyDescent="0.2">
      <c r="B313" s="530">
        <f t="shared" si="25"/>
        <v>284</v>
      </c>
      <c r="C313" s="561"/>
      <c r="D313" s="531" t="s">
        <v>1244</v>
      </c>
      <c r="E313" s="524" t="str">
        <f t="shared" si="32"/>
        <v>Pemasangan 1 m2   atap asbes gelombang  1.08mx1.80m x 6mm</v>
      </c>
      <c r="F313" s="544" t="s">
        <v>82</v>
      </c>
      <c r="G313" s="532">
        <f t="shared" si="33"/>
        <v>117847</v>
      </c>
      <c r="I313" s="250"/>
    </row>
    <row r="314" spans="2:9" ht="15" customHeight="1" x14ac:dyDescent="0.2">
      <c r="B314" s="530">
        <f t="shared" si="25"/>
        <v>285</v>
      </c>
      <c r="C314" s="561"/>
      <c r="D314" s="531" t="s">
        <v>1246</v>
      </c>
      <c r="E314" s="524" t="str">
        <f t="shared" si="32"/>
        <v>Pemasangan 1 m’  bubung stel  gelombang  0,92m</v>
      </c>
      <c r="F314" s="544" t="s">
        <v>127</v>
      </c>
      <c r="G314" s="532">
        <f t="shared" si="33"/>
        <v>92359</v>
      </c>
      <c r="I314" s="250"/>
    </row>
    <row r="315" spans="2:9" ht="15" customHeight="1" x14ac:dyDescent="0.2">
      <c r="B315" s="530">
        <f t="shared" si="25"/>
        <v>286</v>
      </c>
      <c r="C315" s="561"/>
      <c r="D315" s="531" t="s">
        <v>1249</v>
      </c>
      <c r="E315" s="524" t="str">
        <f t="shared" si="32"/>
        <v>Pemasangan 1 m’  bubung stel  gelombang  1,05m</v>
      </c>
      <c r="F315" s="544" t="s">
        <v>127</v>
      </c>
      <c r="G315" s="532">
        <f t="shared" si="33"/>
        <v>85917</v>
      </c>
      <c r="I315" s="250"/>
    </row>
    <row r="316" spans="2:9" ht="15" customHeight="1" x14ac:dyDescent="0.2">
      <c r="B316" s="530">
        <f t="shared" si="25"/>
        <v>287</v>
      </c>
      <c r="C316" s="561"/>
      <c r="D316" s="531" t="s">
        <v>1251</v>
      </c>
      <c r="E316" s="524" t="str">
        <f t="shared" si="32"/>
        <v>Pemasangan 1 m’  bubung stel  gelombang  1,08m</v>
      </c>
      <c r="F316" s="544" t="s">
        <v>127</v>
      </c>
      <c r="G316" s="532">
        <f t="shared" si="33"/>
        <v>84844</v>
      </c>
      <c r="I316" s="250"/>
    </row>
    <row r="317" spans="2:9" ht="15" customHeight="1" x14ac:dyDescent="0.2">
      <c r="B317" s="530">
        <f t="shared" si="25"/>
        <v>288</v>
      </c>
      <c r="C317" s="561"/>
      <c r="D317" s="531" t="s">
        <v>1253</v>
      </c>
      <c r="E317" s="524" t="str">
        <f t="shared" si="32"/>
        <v>Pemasangan 1 m’ nok paten 0,92m</v>
      </c>
      <c r="F317" s="544" t="s">
        <v>127</v>
      </c>
      <c r="G317" s="532">
        <f t="shared" si="33"/>
        <v>102180</v>
      </c>
      <c r="I317" s="250"/>
    </row>
    <row r="318" spans="2:9" ht="15" customHeight="1" x14ac:dyDescent="0.2">
      <c r="B318" s="530">
        <f t="shared" si="25"/>
        <v>289</v>
      </c>
      <c r="C318" s="561"/>
      <c r="D318" s="531" t="s">
        <v>1256</v>
      </c>
      <c r="E318" s="524" t="str">
        <f t="shared" si="32"/>
        <v>Pemasangan 1 m’ nok paten 1,05m</v>
      </c>
      <c r="F318" s="544" t="s">
        <v>127</v>
      </c>
      <c r="G318" s="532">
        <f t="shared" si="33"/>
        <v>102180</v>
      </c>
      <c r="I318" s="250"/>
    </row>
    <row r="319" spans="2:9" ht="15" customHeight="1" x14ac:dyDescent="0.2">
      <c r="B319" s="530">
        <f t="shared" si="25"/>
        <v>290</v>
      </c>
      <c r="C319" s="561"/>
      <c r="D319" s="531" t="s">
        <v>1258</v>
      </c>
      <c r="E319" s="524" t="str">
        <f t="shared" si="32"/>
        <v>Pemasangan 1 m’ nok paten 1,08m</v>
      </c>
      <c r="F319" s="544" t="s">
        <v>127</v>
      </c>
      <c r="G319" s="532">
        <f t="shared" si="33"/>
        <v>102180</v>
      </c>
      <c r="I319" s="250"/>
    </row>
    <row r="320" spans="2:9" ht="15" customHeight="1" x14ac:dyDescent="0.2">
      <c r="B320" s="530">
        <f t="shared" si="25"/>
        <v>291</v>
      </c>
      <c r="C320" s="561"/>
      <c r="D320" s="531" t="s">
        <v>1260</v>
      </c>
      <c r="E320" s="524" t="str">
        <f t="shared" si="32"/>
        <v>Pemasangan 1 m’ nok stel rata 0,92m</v>
      </c>
      <c r="F320" s="544" t="s">
        <v>127</v>
      </c>
      <c r="G320" s="532">
        <f t="shared" si="33"/>
        <v>103392</v>
      </c>
      <c r="I320" s="250"/>
    </row>
    <row r="321" spans="2:9" ht="15" customHeight="1" x14ac:dyDescent="0.2">
      <c r="B321" s="530">
        <f t="shared" si="25"/>
        <v>292</v>
      </c>
      <c r="C321" s="561"/>
      <c r="D321" s="531" t="s">
        <v>1262</v>
      </c>
      <c r="E321" s="524" t="str">
        <f t="shared" si="32"/>
        <v>Pemasangan 1 m’ nok stel rata 1,05m</v>
      </c>
      <c r="F321" s="544" t="s">
        <v>127</v>
      </c>
      <c r="G321" s="532">
        <f t="shared" si="33"/>
        <v>97067</v>
      </c>
      <c r="I321" s="250"/>
    </row>
    <row r="322" spans="2:9" ht="15" customHeight="1" x14ac:dyDescent="0.2">
      <c r="B322" s="530">
        <f t="shared" si="25"/>
        <v>293</v>
      </c>
      <c r="C322" s="561"/>
      <c r="D322" s="531" t="s">
        <v>1264</v>
      </c>
      <c r="E322" s="524" t="str">
        <f t="shared" si="32"/>
        <v>Pemasangan 1 m2 genteng beton</v>
      </c>
      <c r="F322" s="544" t="s">
        <v>82</v>
      </c>
      <c r="G322" s="532">
        <f t="shared" si="33"/>
        <v>83940</v>
      </c>
      <c r="I322" s="250"/>
    </row>
    <row r="323" spans="2:9" ht="15" customHeight="1" x14ac:dyDescent="0.2">
      <c r="B323" s="530">
        <f t="shared" si="25"/>
        <v>294</v>
      </c>
      <c r="C323" s="561"/>
      <c r="D323" s="531" t="s">
        <v>1267</v>
      </c>
      <c r="E323" s="524" t="str">
        <f t="shared" si="32"/>
        <v>Pemasangan 1 m2 genteng aspal</v>
      </c>
      <c r="F323" s="544" t="s">
        <v>82</v>
      </c>
      <c r="G323" s="532">
        <f t="shared" si="33"/>
        <v>160927</v>
      </c>
      <c r="I323" s="250"/>
    </row>
    <row r="324" spans="2:9" ht="15" customHeight="1" x14ac:dyDescent="0.2">
      <c r="B324" s="530">
        <f t="shared" si="25"/>
        <v>295</v>
      </c>
      <c r="C324" s="562"/>
      <c r="D324" s="531" t="s">
        <v>1272</v>
      </c>
      <c r="E324" s="524" t="str">
        <f t="shared" si="32"/>
        <v xml:space="preserve">Pemasangan 1 m2 genteng metal ukuran 80 x 100 atap pelana </v>
      </c>
      <c r="F324" s="544" t="s">
        <v>82</v>
      </c>
      <c r="G324" s="532">
        <f t="shared" si="33"/>
        <v>114665</v>
      </c>
      <c r="I324" s="250"/>
    </row>
    <row r="325" spans="2:9" ht="15" customHeight="1" x14ac:dyDescent="0.2">
      <c r="B325" s="530">
        <f t="shared" si="25"/>
        <v>296</v>
      </c>
      <c r="C325" s="561"/>
      <c r="D325" s="531" t="s">
        <v>1276</v>
      </c>
      <c r="E325" s="524" t="str">
        <f t="shared" si="32"/>
        <v>Pemasangan 1 m2 genteng metal ukuran 80 x 100 atap Jurai</v>
      </c>
      <c r="F325" s="544" t="s">
        <v>82</v>
      </c>
      <c r="G325" s="532">
        <f t="shared" si="33"/>
        <v>148352</v>
      </c>
      <c r="I325" s="250"/>
    </row>
    <row r="326" spans="2:9" ht="15" customHeight="1" x14ac:dyDescent="0.2">
      <c r="B326" s="530">
        <f t="shared" si="25"/>
        <v>297</v>
      </c>
      <c r="C326" s="561"/>
      <c r="D326" s="531" t="s">
        <v>1278</v>
      </c>
      <c r="E326" s="524" t="str">
        <f t="shared" si="32"/>
        <v>Pemasangan 1 m2 atap sirap kayu</v>
      </c>
      <c r="F326" s="544" t="s">
        <v>82</v>
      </c>
      <c r="G326" s="532">
        <f t="shared" si="33"/>
        <v>472261</v>
      </c>
      <c r="I326" s="250"/>
    </row>
    <row r="327" spans="2:9" ht="15" customHeight="1" x14ac:dyDescent="0.2">
      <c r="B327" s="530">
        <f t="shared" si="25"/>
        <v>298</v>
      </c>
      <c r="C327" s="561"/>
      <c r="D327" s="531" t="s">
        <v>1281</v>
      </c>
      <c r="E327" s="524" t="str">
        <f t="shared" si="32"/>
        <v>Pemasangan 1 m’ nok genteng beton</v>
      </c>
      <c r="F327" s="544" t="s">
        <v>127</v>
      </c>
      <c r="G327" s="532">
        <f t="shared" si="33"/>
        <v>203059</v>
      </c>
      <c r="I327" s="250"/>
    </row>
    <row r="328" spans="2:9" ht="15" customHeight="1" x14ac:dyDescent="0.2">
      <c r="B328" s="530">
        <f t="shared" si="25"/>
        <v>299</v>
      </c>
      <c r="C328" s="561"/>
      <c r="D328" s="531" t="s">
        <v>1284</v>
      </c>
      <c r="E328" s="524" t="str">
        <f t="shared" si="32"/>
        <v>Pemasangan 1 m’ nok genteng aspal</v>
      </c>
      <c r="F328" s="544" t="s">
        <v>127</v>
      </c>
      <c r="G328" s="532">
        <f t="shared" si="33"/>
        <v>149579</v>
      </c>
      <c r="I328" s="250"/>
    </row>
    <row r="329" spans="2:9" ht="15" customHeight="1" x14ac:dyDescent="0.2">
      <c r="B329" s="530">
        <f t="shared" si="25"/>
        <v>300</v>
      </c>
      <c r="C329" s="561"/>
      <c r="D329" s="531" t="s">
        <v>1288</v>
      </c>
      <c r="E329" s="524" t="str">
        <f t="shared" si="32"/>
        <v>Pemasangan 1 m’ nok genteng metal</v>
      </c>
      <c r="F329" s="544" t="s">
        <v>127</v>
      </c>
      <c r="G329" s="532">
        <f t="shared" si="33"/>
        <v>177294</v>
      </c>
      <c r="I329" s="250"/>
    </row>
    <row r="330" spans="2:9" ht="15" customHeight="1" x14ac:dyDescent="0.2">
      <c r="B330" s="530">
        <f t="shared" si="25"/>
        <v>301</v>
      </c>
      <c r="C330" s="561"/>
      <c r="D330" s="531" t="s">
        <v>1291</v>
      </c>
      <c r="E330" s="524" t="str">
        <f t="shared" si="32"/>
        <v>Pemasangan 1 m’ nok sirap</v>
      </c>
      <c r="F330" s="544" t="s">
        <v>127</v>
      </c>
      <c r="G330" s="532">
        <f t="shared" si="33"/>
        <v>81693</v>
      </c>
      <c r="I330" s="250"/>
    </row>
    <row r="331" spans="2:9" ht="15" customHeight="1" x14ac:dyDescent="0.2">
      <c r="B331" s="530">
        <f t="shared" si="25"/>
        <v>302</v>
      </c>
      <c r="C331" s="561"/>
      <c r="D331" s="531" t="s">
        <v>1293</v>
      </c>
      <c r="E331" s="524" t="str">
        <f t="shared" si="32"/>
        <v>Pemasangan 1 m2 atap seng gelombang</v>
      </c>
      <c r="F331" s="544" t="s">
        <v>82</v>
      </c>
      <c r="G331" s="532">
        <f t="shared" si="33"/>
        <v>78121</v>
      </c>
      <c r="I331" s="250"/>
    </row>
    <row r="332" spans="2:9" ht="15" customHeight="1" x14ac:dyDescent="0.2">
      <c r="B332" s="530">
        <f t="shared" si="25"/>
        <v>303</v>
      </c>
      <c r="C332" s="562"/>
      <c r="D332" s="531" t="s">
        <v>1295</v>
      </c>
      <c r="E332" s="524" t="str">
        <f t="shared" si="32"/>
        <v>Pemasangan 1 m’nok atap seng</v>
      </c>
      <c r="F332" s="544" t="s">
        <v>127</v>
      </c>
      <c r="G332" s="532">
        <f t="shared" si="33"/>
        <v>46688</v>
      </c>
      <c r="I332" s="250"/>
    </row>
    <row r="333" spans="2:9" ht="15" customHeight="1" x14ac:dyDescent="0.2">
      <c r="B333" s="530">
        <f t="shared" si="25"/>
        <v>304</v>
      </c>
      <c r="C333" s="561"/>
      <c r="D333" s="531" t="s">
        <v>1297</v>
      </c>
      <c r="E333" s="524" t="str">
        <f t="shared" si="32"/>
        <v>Pemasangan 1 m2 atap alumunium</v>
      </c>
      <c r="F333" s="544" t="s">
        <v>82</v>
      </c>
      <c r="G333" s="532">
        <f t="shared" si="33"/>
        <v>357942</v>
      </c>
      <c r="I333" s="250"/>
    </row>
    <row r="334" spans="2:9" ht="15" customHeight="1" x14ac:dyDescent="0.2">
      <c r="B334" s="530">
        <f t="shared" si="25"/>
        <v>305</v>
      </c>
      <c r="C334" s="561"/>
      <c r="D334" s="531" t="s">
        <v>1301</v>
      </c>
      <c r="E334" s="524" t="str">
        <f t="shared" si="32"/>
        <v>Pemasangan 1 m’ nok alumunium</v>
      </c>
      <c r="F334" s="544" t="s">
        <v>127</v>
      </c>
      <c r="G334" s="532">
        <f t="shared" si="33"/>
        <v>215571</v>
      </c>
      <c r="I334" s="250"/>
    </row>
    <row r="335" spans="2:9" ht="15" customHeight="1" x14ac:dyDescent="0.2">
      <c r="B335" s="530">
        <f t="shared" si="25"/>
        <v>306</v>
      </c>
      <c r="C335" s="561"/>
      <c r="D335" s="531" t="s">
        <v>1304</v>
      </c>
      <c r="E335" s="524" t="str">
        <f t="shared" si="32"/>
        <v>Pemasangan 1 m2 alumunium foil/sisalation</v>
      </c>
      <c r="F335" s="544" t="s">
        <v>82</v>
      </c>
      <c r="G335" s="532">
        <f t="shared" si="33"/>
        <v>69266</v>
      </c>
      <c r="H335" s="251"/>
      <c r="I335" s="250"/>
    </row>
    <row r="336" spans="2:9" ht="15" customHeight="1" x14ac:dyDescent="0.2">
      <c r="B336" s="530"/>
      <c r="C336" s="561"/>
      <c r="D336" s="536"/>
      <c r="E336" s="531"/>
      <c r="F336" s="545"/>
      <c r="G336" s="546"/>
      <c r="I336" s="250"/>
    </row>
    <row r="337" spans="2:9" ht="15" customHeight="1" x14ac:dyDescent="0.2">
      <c r="B337" s="530"/>
      <c r="C337" s="563" t="s">
        <v>1307</v>
      </c>
      <c r="D337" s="556" t="s">
        <v>1308</v>
      </c>
      <c r="E337" s="557"/>
      <c r="F337" s="543"/>
      <c r="G337" s="532"/>
      <c r="I337" s="250"/>
    </row>
    <row r="338" spans="2:9" ht="15" customHeight="1" x14ac:dyDescent="0.2">
      <c r="B338" s="530">
        <f>B335+1</f>
        <v>307</v>
      </c>
      <c r="C338" s="561"/>
      <c r="D338" s="531" t="s">
        <v>1309</v>
      </c>
      <c r="E338" s="524" t="str">
        <f t="shared" ref="E338:E365" si="34">VLOOKUP(D338,AHSP,2,FALSE)</f>
        <v>Pembuatan dan pemasangan 1 m3 kusen pintu dan kusen jendela, kayu kelas I</v>
      </c>
      <c r="F338" s="544" t="s">
        <v>158</v>
      </c>
      <c r="G338" s="532">
        <f t="shared" ref="G338:G365" si="35">VLOOKUP(D338,AHSP,9,FALSE)</f>
        <v>12794289</v>
      </c>
      <c r="I338" s="250"/>
    </row>
    <row r="339" spans="2:9" ht="23.1" customHeight="1" x14ac:dyDescent="0.2">
      <c r="B339" s="530">
        <f t="shared" ref="B339:B402" si="36">B338+1</f>
        <v>308</v>
      </c>
      <c r="C339" s="562"/>
      <c r="D339" s="531" t="s">
        <v>1311</v>
      </c>
      <c r="E339" s="524" t="str">
        <f t="shared" si="34"/>
        <v>Pembuatan dan pemasangan 1 m3 kusen pintu dan kusen jendela, kayu kelas II atau III</v>
      </c>
      <c r="F339" s="544" t="s">
        <v>158</v>
      </c>
      <c r="G339" s="532">
        <f t="shared" si="35"/>
        <v>10054189</v>
      </c>
      <c r="I339" s="250"/>
    </row>
    <row r="340" spans="2:9" ht="15" customHeight="1" x14ac:dyDescent="0.2">
      <c r="B340" s="530">
        <f t="shared" si="36"/>
        <v>309</v>
      </c>
      <c r="C340" s="561"/>
      <c r="D340" s="531" t="s">
        <v>1313</v>
      </c>
      <c r="E340" s="524" t="str">
        <f t="shared" si="34"/>
        <v>Pembuatan dan pemasangan 1 m2 pintu klamp standar, kayu kelas II</v>
      </c>
      <c r="F340" s="544" t="s">
        <v>82</v>
      </c>
      <c r="G340" s="532">
        <f t="shared" si="35"/>
        <v>443336</v>
      </c>
      <c r="I340" s="250"/>
    </row>
    <row r="341" spans="2:9" ht="15" customHeight="1" x14ac:dyDescent="0.2">
      <c r="B341" s="530">
        <f t="shared" si="36"/>
        <v>310</v>
      </c>
      <c r="C341" s="561"/>
      <c r="D341" s="531" t="s">
        <v>1316</v>
      </c>
      <c r="E341" s="524" t="str">
        <f t="shared" si="34"/>
        <v>Pembuatan dan pemasangan 1 m2 pintu klamp sederhana, kayu kelas III</v>
      </c>
      <c r="F341" s="544" t="s">
        <v>82</v>
      </c>
      <c r="G341" s="532">
        <f t="shared" si="35"/>
        <v>443336</v>
      </c>
      <c r="I341" s="250"/>
    </row>
    <row r="342" spans="2:9" ht="15" customHeight="1" x14ac:dyDescent="0.2">
      <c r="B342" s="530">
        <f t="shared" si="36"/>
        <v>311</v>
      </c>
      <c r="C342" s="562"/>
      <c r="D342" s="531" t="s">
        <v>1318</v>
      </c>
      <c r="E342" s="524" t="str">
        <f t="shared" si="34"/>
        <v>Pembuatan dan pemasangan 1 m2 daun pintu panel, kayu kelas I atau II</v>
      </c>
      <c r="F342" s="544" t="s">
        <v>82</v>
      </c>
      <c r="G342" s="532">
        <f t="shared" si="35"/>
        <v>902665</v>
      </c>
      <c r="I342" s="250"/>
    </row>
    <row r="343" spans="2:9" ht="15" customHeight="1" x14ac:dyDescent="0.2">
      <c r="B343" s="530">
        <f t="shared" si="36"/>
        <v>312</v>
      </c>
      <c r="C343" s="562"/>
      <c r="D343" s="531" t="s">
        <v>1320</v>
      </c>
      <c r="E343" s="524" t="str">
        <f t="shared" si="34"/>
        <v>Pembuatan dan pemasangan 1 m2 pintu  dan jendela kaca, kayu kelas I atau II</v>
      </c>
      <c r="F343" s="544" t="s">
        <v>82</v>
      </c>
      <c r="G343" s="532">
        <f t="shared" si="35"/>
        <v>680859</v>
      </c>
      <c r="I343" s="250"/>
    </row>
    <row r="344" spans="2:9" ht="15" customHeight="1" x14ac:dyDescent="0.2">
      <c r="B344" s="530">
        <f t="shared" si="36"/>
        <v>313</v>
      </c>
      <c r="C344" s="561"/>
      <c r="D344" s="531" t="s">
        <v>1322</v>
      </c>
      <c r="E344" s="524" t="str">
        <f t="shared" si="34"/>
        <v>Pembuatan dan pemasangan 1 m2 pintu dan jendela jalusi kayu kelas I atau II</v>
      </c>
      <c r="F344" s="544" t="s">
        <v>82</v>
      </c>
      <c r="G344" s="532">
        <f t="shared" si="35"/>
        <v>1021465</v>
      </c>
      <c r="I344" s="250"/>
    </row>
    <row r="345" spans="2:9" ht="15" customHeight="1" x14ac:dyDescent="0.2">
      <c r="B345" s="530">
        <f t="shared" si="36"/>
        <v>314</v>
      </c>
      <c r="C345" s="561"/>
      <c r="D345" s="531" t="s">
        <v>1324</v>
      </c>
      <c r="E345" s="524" t="str">
        <f t="shared" si="34"/>
        <v>Pembuatan 1 m2 daun pintu plywood  rangkap, rangka kayu kelas II tertutup</v>
      </c>
      <c r="F345" s="544" t="s">
        <v>82</v>
      </c>
      <c r="G345" s="532">
        <f t="shared" si="35"/>
        <v>706248</v>
      </c>
      <c r="I345" s="250"/>
    </row>
    <row r="346" spans="2:9" ht="15" customHeight="1" x14ac:dyDescent="0.2">
      <c r="B346" s="530">
        <f t="shared" si="36"/>
        <v>315</v>
      </c>
      <c r="C346" s="561"/>
      <c r="D346" s="531" t="s">
        <v>1326</v>
      </c>
      <c r="E346" s="524" t="str">
        <f t="shared" si="34"/>
        <v>Pembuatan 1 m2 pintu plywood  rangkap, rangka expose kayu kelas I atau II</v>
      </c>
      <c r="F346" s="544" t="s">
        <v>82</v>
      </c>
      <c r="G346" s="532">
        <f t="shared" si="35"/>
        <v>778848</v>
      </c>
      <c r="I346" s="250"/>
    </row>
    <row r="347" spans="2:9" ht="15" customHeight="1" x14ac:dyDescent="0.2">
      <c r="B347" s="530">
        <f t="shared" si="36"/>
        <v>316</v>
      </c>
      <c r="C347" s="562"/>
      <c r="D347" s="531" t="s">
        <v>1328</v>
      </c>
      <c r="E347" s="524" t="str">
        <f t="shared" si="34"/>
        <v>Pemasangan 1 m2 jalusi kusen, kayu kelas I atau II</v>
      </c>
      <c r="F347" s="544" t="s">
        <v>82</v>
      </c>
      <c r="G347" s="532">
        <f t="shared" si="35"/>
        <v>822685</v>
      </c>
      <c r="I347" s="250"/>
    </row>
    <row r="348" spans="2:9" ht="15" customHeight="1" x14ac:dyDescent="0.2">
      <c r="B348" s="530">
        <f t="shared" si="36"/>
        <v>317</v>
      </c>
      <c r="C348" s="562"/>
      <c r="D348" s="531" t="s">
        <v>1331</v>
      </c>
      <c r="E348" s="524" t="str">
        <f t="shared" si="34"/>
        <v>Pemasangan 1 m2 teakwood rangkap, rangka expose kayu kelas I</v>
      </c>
      <c r="F348" s="544" t="s">
        <v>82</v>
      </c>
      <c r="G348" s="532">
        <f t="shared" si="35"/>
        <v>767120</v>
      </c>
      <c r="I348" s="250"/>
    </row>
    <row r="349" spans="2:9" ht="15" customHeight="1" x14ac:dyDescent="0.2">
      <c r="B349" s="530">
        <f t="shared" si="36"/>
        <v>318</v>
      </c>
      <c r="C349" s="561"/>
      <c r="D349" s="531" t="s">
        <v>1334</v>
      </c>
      <c r="E349" s="524" t="str">
        <f t="shared" si="34"/>
        <v>Pemasangan 1 m2 teakwood rangkap lapis formika, rangka expose kayu kelas II</v>
      </c>
      <c r="F349" s="544" t="s">
        <v>82</v>
      </c>
      <c r="G349" s="532">
        <f t="shared" si="35"/>
        <v>867319</v>
      </c>
      <c r="I349" s="250"/>
    </row>
    <row r="350" spans="2:9" ht="15" customHeight="1" x14ac:dyDescent="0.2">
      <c r="B350" s="530">
        <f t="shared" si="36"/>
        <v>319</v>
      </c>
      <c r="C350" s="561"/>
      <c r="D350" s="531" t="s">
        <v>1337</v>
      </c>
      <c r="E350" s="524" t="str">
        <f t="shared" si="34"/>
        <v>Pemasangan 1 m3 konstruksi kuda-kuda konvensional, kayu kelas I, II dan III bentang 6 meter</v>
      </c>
      <c r="F350" s="544" t="s">
        <v>158</v>
      </c>
      <c r="G350" s="532">
        <f t="shared" si="35"/>
        <v>8499845</v>
      </c>
      <c r="I350" s="250"/>
    </row>
    <row r="351" spans="2:9" ht="15" customHeight="1" x14ac:dyDescent="0.2">
      <c r="B351" s="530">
        <f t="shared" si="36"/>
        <v>320</v>
      </c>
      <c r="C351" s="561"/>
      <c r="D351" s="531" t="s">
        <v>1339</v>
      </c>
      <c r="E351" s="524" t="str">
        <f t="shared" si="34"/>
        <v>Pemasangan 1 m3 konstruksi kuda-kuda expose, kayu kelas I</v>
      </c>
      <c r="F351" s="544" t="s">
        <v>158</v>
      </c>
      <c r="G351" s="532">
        <f t="shared" si="35"/>
        <v>13623755</v>
      </c>
      <c r="I351" s="250"/>
    </row>
    <row r="352" spans="2:9" ht="15" customHeight="1" x14ac:dyDescent="0.2">
      <c r="B352" s="530">
        <f t="shared" si="36"/>
        <v>321</v>
      </c>
      <c r="C352" s="561"/>
      <c r="D352" s="531" t="s">
        <v>1341</v>
      </c>
      <c r="E352" s="524" t="str">
        <f t="shared" si="34"/>
        <v>Pemasangan 1 m3 konstruksi gordeng, kayu kelas II</v>
      </c>
      <c r="F352" s="544" t="s">
        <v>158</v>
      </c>
      <c r="G352" s="532" t="e">
        <f t="shared" si="35"/>
        <v>#VALUE!</v>
      </c>
      <c r="I352" s="250"/>
    </row>
    <row r="353" spans="2:9" ht="15" customHeight="1" x14ac:dyDescent="0.2">
      <c r="B353" s="530">
        <f t="shared" si="36"/>
        <v>322</v>
      </c>
      <c r="C353" s="561"/>
      <c r="D353" s="531" t="s">
        <v>1344</v>
      </c>
      <c r="E353" s="524" t="str">
        <f t="shared" si="34"/>
        <v>Pemasangan 1 m2 rangka atap genteng keramik, kayu kelas II</v>
      </c>
      <c r="F353" s="544" t="s">
        <v>82</v>
      </c>
      <c r="G353" s="532">
        <f t="shared" si="35"/>
        <v>281730</v>
      </c>
      <c r="I353" s="250"/>
    </row>
    <row r="354" spans="2:9" ht="15" customHeight="1" x14ac:dyDescent="0.2">
      <c r="B354" s="530">
        <f t="shared" si="36"/>
        <v>323</v>
      </c>
      <c r="C354" s="561"/>
      <c r="D354" s="531" t="s">
        <v>1347</v>
      </c>
      <c r="E354" s="524" t="str">
        <f t="shared" si="34"/>
        <v>Pemasangan 1 m2 rangka atap genteng beton, kayu kelas II</v>
      </c>
      <c r="F354" s="544" t="s">
        <v>82</v>
      </c>
      <c r="G354" s="532">
        <f t="shared" si="35"/>
        <v>427022</v>
      </c>
      <c r="I354" s="250"/>
    </row>
    <row r="355" spans="2:9" ht="15" customHeight="1" x14ac:dyDescent="0.2">
      <c r="B355" s="530">
        <f t="shared" si="36"/>
        <v>324</v>
      </c>
      <c r="C355" s="561"/>
      <c r="D355" s="531" t="s">
        <v>1350</v>
      </c>
      <c r="E355" s="524" t="str">
        <f t="shared" si="34"/>
        <v>Pemasangan 1 m2 rangka atap sirap,  kayu  kelas II</v>
      </c>
      <c r="F355" s="544" t="s">
        <v>82</v>
      </c>
      <c r="G355" s="532">
        <f t="shared" si="35"/>
        <v>126053</v>
      </c>
      <c r="I355" s="250"/>
    </row>
    <row r="356" spans="2:9" ht="15" customHeight="1" x14ac:dyDescent="0.2">
      <c r="B356" s="530">
        <f t="shared" si="36"/>
        <v>325</v>
      </c>
      <c r="C356" s="561"/>
      <c r="D356" s="531" t="s">
        <v>1353</v>
      </c>
      <c r="E356" s="524" t="str">
        <f t="shared" si="34"/>
        <v xml:space="preserve">Pemasangan 1 m2 rangka langit-langit (50 x 100) cm,  kayu  kelas II atau III </v>
      </c>
      <c r="F356" s="544" t="s">
        <v>82</v>
      </c>
      <c r="G356" s="532">
        <f t="shared" si="35"/>
        <v>210347</v>
      </c>
      <c r="I356" s="250"/>
    </row>
    <row r="357" spans="2:9" ht="15" customHeight="1" x14ac:dyDescent="0.2">
      <c r="B357" s="530">
        <f t="shared" si="36"/>
        <v>326</v>
      </c>
      <c r="C357" s="561"/>
      <c r="D357" s="531" t="s">
        <v>1355</v>
      </c>
      <c r="E357" s="524" t="str">
        <f t="shared" si="34"/>
        <v xml:space="preserve">Pemasangan 1 m2 rangka langit-langit (60 x 60) cm,  kayu  kelas II  atau III </v>
      </c>
      <c r="F357" s="544" t="s">
        <v>82</v>
      </c>
      <c r="G357" s="532">
        <f t="shared" si="35"/>
        <v>213303</v>
      </c>
      <c r="I357" s="250"/>
    </row>
    <row r="358" spans="2:9" ht="15" customHeight="1" x14ac:dyDescent="0.2">
      <c r="B358" s="530">
        <f t="shared" si="36"/>
        <v>327</v>
      </c>
      <c r="C358" s="562"/>
      <c r="D358" s="531" t="s">
        <v>1357</v>
      </c>
      <c r="E358" s="524" t="str">
        <f t="shared" si="34"/>
        <v>Pemasangan 1 m’  lisplank ukuran (3 x 20) cm, kayu kelas I atau kelas II</v>
      </c>
      <c r="F358" s="544" t="s">
        <v>127</v>
      </c>
      <c r="G358" s="532">
        <f t="shared" si="35"/>
        <v>107851</v>
      </c>
      <c r="I358" s="250"/>
    </row>
    <row r="359" spans="2:9" ht="15" customHeight="1" x14ac:dyDescent="0.2">
      <c r="B359" s="530">
        <f t="shared" si="36"/>
        <v>328</v>
      </c>
      <c r="C359" s="561"/>
      <c r="D359" s="531" t="s">
        <v>1359</v>
      </c>
      <c r="E359" s="524" t="str">
        <f t="shared" si="34"/>
        <v>Pemasangan 1 m’  lisplank ukuran (3 x 30) cm, kayu kelas I atau kelas II</v>
      </c>
      <c r="F359" s="544" t="s">
        <v>127</v>
      </c>
      <c r="G359" s="532">
        <f t="shared" si="35"/>
        <v>107303</v>
      </c>
      <c r="I359" s="250"/>
    </row>
    <row r="360" spans="2:9" ht="15" customHeight="1" x14ac:dyDescent="0.2">
      <c r="B360" s="530">
        <f t="shared" si="36"/>
        <v>329</v>
      </c>
      <c r="C360" s="561"/>
      <c r="D360" s="531" t="s">
        <v>1361</v>
      </c>
      <c r="E360" s="524" t="str">
        <f t="shared" si="34"/>
        <v>Pemasangan 1 m2 rangka dinding pemisah  (60 x 120) cm kayu kelas II atau III</v>
      </c>
      <c r="F360" s="544" t="s">
        <v>82</v>
      </c>
      <c r="G360" s="532">
        <f t="shared" si="35"/>
        <v>244981</v>
      </c>
      <c r="I360" s="250"/>
    </row>
    <row r="361" spans="2:9" ht="15" customHeight="1" x14ac:dyDescent="0.2">
      <c r="B361" s="530">
        <f t="shared" si="36"/>
        <v>330</v>
      </c>
      <c r="C361" s="561"/>
      <c r="D361" s="531" t="s">
        <v>1363</v>
      </c>
      <c r="E361" s="524" t="str">
        <f t="shared" si="34"/>
        <v>Pemasangan 1 m2 dinding pemisah teakwood rangkap, rangka kayu kelas II</v>
      </c>
      <c r="F361" s="544" t="s">
        <v>82</v>
      </c>
      <c r="G361" s="532">
        <f t="shared" si="35"/>
        <v>372022</v>
      </c>
      <c r="I361" s="250"/>
    </row>
    <row r="362" spans="2:9" ht="15" customHeight="1" x14ac:dyDescent="0.2">
      <c r="B362" s="530">
        <f t="shared" si="36"/>
        <v>331</v>
      </c>
      <c r="C362" s="561"/>
      <c r="D362" s="531" t="s">
        <v>1367</v>
      </c>
      <c r="E362" s="524" t="str">
        <f t="shared" si="34"/>
        <v>Pemasangan 1 m2 dinding pemisah plywood rangkap, rangka kayu kelas II</v>
      </c>
      <c r="F362" s="544" t="s">
        <v>82</v>
      </c>
      <c r="G362" s="532">
        <f t="shared" si="35"/>
        <v>403054</v>
      </c>
      <c r="I362" s="250"/>
    </row>
    <row r="363" spans="2:9" ht="15" customHeight="1" x14ac:dyDescent="0.2">
      <c r="B363" s="530">
        <f t="shared" si="36"/>
        <v>332</v>
      </c>
      <c r="C363" s="561"/>
      <c r="D363" s="531" t="s">
        <v>1369</v>
      </c>
      <c r="E363" s="524" t="str">
        <f t="shared" si="34"/>
        <v>Pemasangan 1 m2 dinding lambrisering dari Kayu Papan kelas I</v>
      </c>
      <c r="F363" s="544" t="s">
        <v>82</v>
      </c>
      <c r="G363" s="532">
        <f t="shared" si="35"/>
        <v>455645</v>
      </c>
      <c r="I363" s="250"/>
    </row>
    <row r="364" spans="2:9" ht="15" customHeight="1" x14ac:dyDescent="0.2">
      <c r="B364" s="530">
        <f t="shared" si="36"/>
        <v>333</v>
      </c>
      <c r="C364" s="561"/>
      <c r="D364" s="531" t="s">
        <v>1371</v>
      </c>
      <c r="E364" s="524" t="str">
        <f t="shared" si="34"/>
        <v>Pemasangan 1 m2 dinding lambrisering dari plywood ukuran (120 x 240) cm</v>
      </c>
      <c r="F364" s="544" t="s">
        <v>82</v>
      </c>
      <c r="G364" s="532">
        <f t="shared" si="35"/>
        <v>53309</v>
      </c>
      <c r="I364" s="250"/>
    </row>
    <row r="365" spans="2:9" ht="15" customHeight="1" x14ac:dyDescent="0.2">
      <c r="B365" s="530">
        <f t="shared" si="36"/>
        <v>334</v>
      </c>
      <c r="C365" s="561"/>
      <c r="D365" s="531" t="s">
        <v>1373</v>
      </c>
      <c r="E365" s="524" t="str">
        <f t="shared" si="34"/>
        <v>Pemasangan 1 m2 dinding bilik, rangka kayu kelas III atau IV</v>
      </c>
      <c r="F365" s="544" t="s">
        <v>82</v>
      </c>
      <c r="G365" s="532">
        <f t="shared" si="35"/>
        <v>300388</v>
      </c>
      <c r="I365" s="250"/>
    </row>
    <row r="366" spans="2:9" ht="15" customHeight="1" x14ac:dyDescent="0.2">
      <c r="B366" s="530"/>
      <c r="C366" s="561"/>
      <c r="D366" s="536"/>
      <c r="E366" s="531"/>
      <c r="F366" s="545"/>
      <c r="G366" s="546"/>
      <c r="I366" s="250"/>
    </row>
    <row r="367" spans="2:9" ht="15" customHeight="1" x14ac:dyDescent="0.2">
      <c r="B367" s="530"/>
      <c r="C367" s="563" t="s">
        <v>1377</v>
      </c>
      <c r="D367" s="556" t="s">
        <v>1378</v>
      </c>
      <c r="E367" s="557"/>
      <c r="F367" s="543"/>
      <c r="G367" s="532"/>
      <c r="I367" s="250"/>
    </row>
    <row r="368" spans="2:9" ht="15" customHeight="1" x14ac:dyDescent="0.2">
      <c r="B368" s="530">
        <f>B365+1</f>
        <v>335</v>
      </c>
      <c r="C368" s="561"/>
      <c r="D368" s="531" t="s">
        <v>1379</v>
      </c>
      <c r="E368" s="524" t="str">
        <f t="shared" ref="E368:E390" si="37">VLOOKUP(D368,AHSP,2,FALSE)</f>
        <v>Pemasangan 1 buah kunci tanam antik</v>
      </c>
      <c r="F368" s="544" t="s">
        <v>130</v>
      </c>
      <c r="G368" s="532">
        <f t="shared" ref="G368:G390" si="38">VLOOKUP(D368,AHSP,9,FALSE)</f>
        <v>465201</v>
      </c>
      <c r="I368" s="250"/>
    </row>
    <row r="369" spans="2:9" ht="15" customHeight="1" x14ac:dyDescent="0.2">
      <c r="B369" s="530">
        <f t="shared" si="36"/>
        <v>336</v>
      </c>
      <c r="C369" s="562"/>
      <c r="D369" s="531" t="s">
        <v>1382</v>
      </c>
      <c r="E369" s="524" t="str">
        <f t="shared" si="37"/>
        <v>Pemasangan 1 buah kunci tanam biasa</v>
      </c>
      <c r="F369" s="544" t="s">
        <v>130</v>
      </c>
      <c r="G369" s="532">
        <f t="shared" si="38"/>
        <v>269775</v>
      </c>
      <c r="I369" s="250"/>
    </row>
    <row r="370" spans="2:9" ht="15" customHeight="1" x14ac:dyDescent="0.2">
      <c r="B370" s="530">
        <f t="shared" si="36"/>
        <v>337</v>
      </c>
      <c r="C370" s="562"/>
      <c r="D370" s="531" t="s">
        <v>1385</v>
      </c>
      <c r="E370" s="524" t="str">
        <f t="shared" si="37"/>
        <v>Pemasangan 1 buah kunci kamar mandi</v>
      </c>
      <c r="F370" s="544" t="s">
        <v>130</v>
      </c>
      <c r="G370" s="532">
        <f t="shared" si="38"/>
        <v>157173</v>
      </c>
      <c r="I370" s="250"/>
    </row>
    <row r="371" spans="2:9" ht="15" customHeight="1" x14ac:dyDescent="0.2">
      <c r="B371" s="530">
        <f t="shared" si="36"/>
        <v>338</v>
      </c>
      <c r="C371" s="561"/>
      <c r="D371" s="531" t="s">
        <v>1388</v>
      </c>
      <c r="E371" s="524" t="str">
        <f t="shared" si="37"/>
        <v>Pemasangan 1 buah kunci silinder</v>
      </c>
      <c r="F371" s="544" t="s">
        <v>130</v>
      </c>
      <c r="G371" s="532">
        <f t="shared" si="38"/>
        <v>189348</v>
      </c>
      <c r="I371" s="250"/>
    </row>
    <row r="372" spans="2:9" ht="15" customHeight="1" x14ac:dyDescent="0.2">
      <c r="B372" s="530">
        <f t="shared" si="36"/>
        <v>339</v>
      </c>
      <c r="C372" s="562"/>
      <c r="D372" s="531" t="s">
        <v>1391</v>
      </c>
      <c r="E372" s="524" t="str">
        <f t="shared" si="37"/>
        <v>Pemasangan 1 buah engsel pintu</v>
      </c>
      <c r="F372" s="544" t="s">
        <v>130</v>
      </c>
      <c r="G372" s="532">
        <f t="shared" si="38"/>
        <v>53246</v>
      </c>
      <c r="I372" s="250"/>
    </row>
    <row r="373" spans="2:9" ht="15" customHeight="1" x14ac:dyDescent="0.2">
      <c r="B373" s="530">
        <f t="shared" si="36"/>
        <v>340</v>
      </c>
      <c r="C373" s="562"/>
      <c r="D373" s="531" t="s">
        <v>1394</v>
      </c>
      <c r="E373" s="524" t="str">
        <f t="shared" si="37"/>
        <v>Pemasangan 1 buah engsel jendela kupu-kupu</v>
      </c>
      <c r="F373" s="544" t="s">
        <v>130</v>
      </c>
      <c r="G373" s="532">
        <f t="shared" si="38"/>
        <v>44863</v>
      </c>
      <c r="I373" s="250"/>
    </row>
    <row r="374" spans="2:9" ht="15" customHeight="1" x14ac:dyDescent="0.2">
      <c r="B374" s="530">
        <f t="shared" si="36"/>
        <v>341</v>
      </c>
      <c r="C374" s="561"/>
      <c r="D374" s="531" t="s">
        <v>1397</v>
      </c>
      <c r="E374" s="524" t="str">
        <f t="shared" si="37"/>
        <v>Pemasangan 1 buah engsel angin</v>
      </c>
      <c r="F374" s="544" t="s">
        <v>130</v>
      </c>
      <c r="G374" s="532">
        <f t="shared" si="38"/>
        <v>61033</v>
      </c>
      <c r="I374" s="250"/>
    </row>
    <row r="375" spans="2:9" ht="15" customHeight="1" x14ac:dyDescent="0.2">
      <c r="B375" s="530">
        <f t="shared" si="36"/>
        <v>342</v>
      </c>
      <c r="C375" s="561"/>
      <c r="D375" s="531" t="s">
        <v>1400</v>
      </c>
      <c r="E375" s="524" t="str">
        <f t="shared" si="37"/>
        <v>Pemasangan 1 buah spring knip</v>
      </c>
      <c r="F375" s="544" t="s">
        <v>130</v>
      </c>
      <c r="G375" s="532">
        <f t="shared" si="38"/>
        <v>40766</v>
      </c>
      <c r="I375" s="250"/>
    </row>
    <row r="376" spans="2:9" ht="15" customHeight="1" x14ac:dyDescent="0.2">
      <c r="B376" s="530">
        <f t="shared" si="36"/>
        <v>343</v>
      </c>
      <c r="C376" s="562"/>
      <c r="D376" s="531" t="s">
        <v>1403</v>
      </c>
      <c r="E376" s="524" t="str">
        <f t="shared" si="37"/>
        <v>Pemasangan 1 buah kait angin</v>
      </c>
      <c r="F376" s="544" t="s">
        <v>130</v>
      </c>
      <c r="G376" s="532">
        <f t="shared" si="38"/>
        <v>38291</v>
      </c>
      <c r="I376" s="250"/>
    </row>
    <row r="377" spans="2:9" ht="15" customHeight="1" x14ac:dyDescent="0.2">
      <c r="B377" s="530">
        <f t="shared" si="36"/>
        <v>344</v>
      </c>
      <c r="C377" s="561"/>
      <c r="D377" s="531" t="s">
        <v>1406</v>
      </c>
      <c r="E377" s="524" t="str">
        <f t="shared" si="37"/>
        <v>Pemasangan 1 buah door closer</v>
      </c>
      <c r="F377" s="544" t="s">
        <v>130</v>
      </c>
      <c r="G377" s="532">
        <f t="shared" si="38"/>
        <v>434511</v>
      </c>
      <c r="I377" s="250"/>
    </row>
    <row r="378" spans="2:9" ht="15" customHeight="1" x14ac:dyDescent="0.2">
      <c r="B378" s="530">
        <f t="shared" si="36"/>
        <v>345</v>
      </c>
      <c r="C378" s="562"/>
      <c r="D378" s="531" t="s">
        <v>1410</v>
      </c>
      <c r="E378" s="524" t="str">
        <f t="shared" si="37"/>
        <v>Pemasangan 1 buah kunci slot</v>
      </c>
      <c r="F378" s="544" t="s">
        <v>130</v>
      </c>
      <c r="G378" s="532">
        <f t="shared" si="38"/>
        <v>108317</v>
      </c>
      <c r="I378" s="250"/>
    </row>
    <row r="379" spans="2:9" ht="15" customHeight="1" x14ac:dyDescent="0.2">
      <c r="B379" s="530">
        <f t="shared" si="36"/>
        <v>346</v>
      </c>
      <c r="C379" s="561"/>
      <c r="D379" s="531" t="s">
        <v>1413</v>
      </c>
      <c r="E379" s="524" t="str">
        <f t="shared" si="37"/>
        <v>Pemasangan 1 buah Door holder</v>
      </c>
      <c r="F379" s="544" t="s">
        <v>130</v>
      </c>
      <c r="G379" s="532">
        <f t="shared" si="38"/>
        <v>232386</v>
      </c>
      <c r="I379" s="250"/>
    </row>
    <row r="380" spans="2:9" ht="15" customHeight="1" x14ac:dyDescent="0.2">
      <c r="B380" s="530">
        <f t="shared" si="36"/>
        <v>347</v>
      </c>
      <c r="C380" s="561"/>
      <c r="D380" s="531" t="s">
        <v>1416</v>
      </c>
      <c r="E380" s="524" t="str">
        <f t="shared" si="37"/>
        <v>Pemasangan 1 buah door stop</v>
      </c>
      <c r="F380" s="544" t="s">
        <v>130</v>
      </c>
      <c r="G380" s="532">
        <f t="shared" si="38"/>
        <v>146751</v>
      </c>
      <c r="I380" s="250"/>
    </row>
    <row r="381" spans="2:9" ht="15" customHeight="1" x14ac:dyDescent="0.2">
      <c r="B381" s="530">
        <f t="shared" si="36"/>
        <v>348</v>
      </c>
      <c r="C381" s="561"/>
      <c r="D381" s="531" t="s">
        <v>1419</v>
      </c>
      <c r="E381" s="524" t="str">
        <f t="shared" si="37"/>
        <v>Pemasangan 1 buah Rrel pintu sorong</v>
      </c>
      <c r="F381" s="544" t="s">
        <v>130</v>
      </c>
      <c r="G381" s="532">
        <f t="shared" si="38"/>
        <v>380501</v>
      </c>
      <c r="I381" s="250"/>
    </row>
    <row r="382" spans="2:9" ht="15" customHeight="1" x14ac:dyDescent="0.2">
      <c r="B382" s="530">
        <f t="shared" si="36"/>
        <v>349</v>
      </c>
      <c r="C382" s="561"/>
      <c r="D382" s="531" t="s">
        <v>1423</v>
      </c>
      <c r="E382" s="524" t="str">
        <f t="shared" si="37"/>
        <v>Pemasangan 1 buah kunci lemari</v>
      </c>
      <c r="F382" s="544" t="s">
        <v>130</v>
      </c>
      <c r="G382" s="532">
        <f t="shared" si="38"/>
        <v>66100</v>
      </c>
      <c r="I382" s="250"/>
    </row>
    <row r="383" spans="2:9" ht="15" customHeight="1" x14ac:dyDescent="0.2">
      <c r="B383" s="530">
        <f t="shared" si="36"/>
        <v>350</v>
      </c>
      <c r="C383" s="561"/>
      <c r="D383" s="531" t="s">
        <v>1426</v>
      </c>
      <c r="E383" s="524" t="str">
        <f t="shared" si="37"/>
        <v>Pemasangan 1 m2 kaca tebal 3 mm</v>
      </c>
      <c r="F383" s="544" t="s">
        <v>82</v>
      </c>
      <c r="G383" s="532">
        <f t="shared" si="38"/>
        <v>168284</v>
      </c>
      <c r="I383" s="250"/>
    </row>
    <row r="384" spans="2:9" ht="15" customHeight="1" x14ac:dyDescent="0.2">
      <c r="B384" s="530">
        <f t="shared" si="36"/>
        <v>351</v>
      </c>
      <c r="C384" s="561"/>
      <c r="D384" s="531" t="s">
        <v>1430</v>
      </c>
      <c r="E384" s="524" t="str">
        <f t="shared" si="37"/>
        <v>Pemasangan 1 m2 kaca tebal 5 mm</v>
      </c>
      <c r="F384" s="544" t="s">
        <v>82</v>
      </c>
      <c r="G384" s="532">
        <f t="shared" si="38"/>
        <v>203495</v>
      </c>
      <c r="I384" s="250"/>
    </row>
    <row r="385" spans="2:9" ht="15" customHeight="1" x14ac:dyDescent="0.2">
      <c r="B385" s="530">
        <f t="shared" si="36"/>
        <v>352</v>
      </c>
      <c r="C385" s="561"/>
      <c r="D385" s="531" t="s">
        <v>1433</v>
      </c>
      <c r="E385" s="524" t="str">
        <f t="shared" si="37"/>
        <v>Pemasangan 1 m2 kaca tebal 8 mm</v>
      </c>
      <c r="F385" s="544" t="s">
        <v>82</v>
      </c>
      <c r="G385" s="532">
        <f t="shared" si="38"/>
        <v>305774</v>
      </c>
      <c r="I385" s="250"/>
    </row>
    <row r="386" spans="2:9" ht="15" customHeight="1" x14ac:dyDescent="0.2">
      <c r="B386" s="530">
        <f t="shared" si="36"/>
        <v>353</v>
      </c>
      <c r="C386" s="561"/>
      <c r="D386" s="531" t="s">
        <v>1436</v>
      </c>
      <c r="E386" s="524" t="str">
        <f t="shared" si="37"/>
        <v>Pemasangan 1 m2 kaca buram tebal 12 mm</v>
      </c>
      <c r="F386" s="544" t="s">
        <v>82</v>
      </c>
      <c r="G386" s="532">
        <f t="shared" si="38"/>
        <v>252583</v>
      </c>
      <c r="I386" s="250"/>
    </row>
    <row r="387" spans="2:9" ht="15" customHeight="1" x14ac:dyDescent="0.2">
      <c r="B387" s="530">
        <f t="shared" si="36"/>
        <v>354</v>
      </c>
      <c r="C387" s="561"/>
      <c r="D387" s="531" t="s">
        <v>1439</v>
      </c>
      <c r="E387" s="524" t="str">
        <f t="shared" si="37"/>
        <v>Pemasangan 1 m2 kaca cermin tebal 5 mm</v>
      </c>
      <c r="F387" s="544" t="s">
        <v>82</v>
      </c>
      <c r="G387" s="532">
        <f t="shared" si="38"/>
        <v>238630</v>
      </c>
      <c r="I387" s="250"/>
    </row>
    <row r="388" spans="2:9" ht="15" customHeight="1" x14ac:dyDescent="0.2">
      <c r="B388" s="530">
        <f t="shared" si="36"/>
        <v>355</v>
      </c>
      <c r="C388" s="561"/>
      <c r="D388" s="531" t="s">
        <v>1442</v>
      </c>
      <c r="E388" s="524" t="str">
        <f t="shared" si="37"/>
        <v>Pemasangan 1 m2 kaca cermin tebal 8 mm</v>
      </c>
      <c r="F388" s="544" t="s">
        <v>82</v>
      </c>
      <c r="G388" s="532">
        <f t="shared" si="38"/>
        <v>393437</v>
      </c>
      <c r="I388" s="250"/>
    </row>
    <row r="389" spans="2:9" ht="15" customHeight="1" x14ac:dyDescent="0.2">
      <c r="B389" s="530">
        <f t="shared" si="36"/>
        <v>356</v>
      </c>
      <c r="C389" s="561"/>
      <c r="D389" s="531" t="s">
        <v>1445</v>
      </c>
      <c r="E389" s="524" t="str">
        <f t="shared" si="37"/>
        <v>Pemasangan 1 m2 kaca wireglassed tebal 5 mm</v>
      </c>
      <c r="F389" s="544" t="s">
        <v>82</v>
      </c>
      <c r="G389" s="532">
        <f t="shared" si="38"/>
        <v>1176538</v>
      </c>
      <c r="I389" s="250"/>
    </row>
    <row r="390" spans="2:9" ht="15" customHeight="1" x14ac:dyDescent="0.2">
      <c r="B390" s="530">
        <f t="shared" si="36"/>
        <v>357</v>
      </c>
      <c r="C390" s="561"/>
      <c r="D390" s="531" t="s">
        <v>1448</v>
      </c>
      <c r="E390" s="524" t="str">
        <f t="shared" si="37"/>
        <v>Pemasangan 1 m2 kaca patri tebal 5 mm</v>
      </c>
      <c r="F390" s="544" t="s">
        <v>82</v>
      </c>
      <c r="G390" s="532">
        <f t="shared" si="38"/>
        <v>165456</v>
      </c>
      <c r="I390" s="250"/>
    </row>
    <row r="391" spans="2:9" ht="15" customHeight="1" x14ac:dyDescent="0.2">
      <c r="B391" s="530"/>
      <c r="C391" s="561"/>
      <c r="D391" s="536"/>
      <c r="E391" s="531"/>
      <c r="F391" s="545"/>
      <c r="G391" s="546"/>
      <c r="I391" s="250"/>
    </row>
    <row r="392" spans="2:9" ht="15" customHeight="1" x14ac:dyDescent="0.2">
      <c r="B392" s="530"/>
      <c r="C392" s="563" t="s">
        <v>1451</v>
      </c>
      <c r="D392" s="556" t="s">
        <v>1452</v>
      </c>
      <c r="E392" s="557"/>
      <c r="F392" s="543"/>
      <c r="G392" s="532"/>
      <c r="I392" s="250"/>
    </row>
    <row r="393" spans="2:9" ht="15" customHeight="1" x14ac:dyDescent="0.2">
      <c r="B393" s="530">
        <f>B390+1</f>
        <v>358</v>
      </c>
      <c r="C393" s="561"/>
      <c r="D393" s="531" t="s">
        <v>1453</v>
      </c>
      <c r="E393" s="524" t="str">
        <f t="shared" ref="E393:E414" si="39">VLOOKUP(D393,AHSP,2,FALSE)</f>
        <v>1 m2 Pengikisan/pengerokan permukaan cat lama</v>
      </c>
      <c r="F393" s="544" t="s">
        <v>82</v>
      </c>
      <c r="G393" s="532">
        <f t="shared" ref="G393:G414" si="40">VLOOKUP(D393,AHSP,9,FALSE)</f>
        <v>23982</v>
      </c>
      <c r="I393" s="250"/>
    </row>
    <row r="394" spans="2:9" ht="15" customHeight="1" x14ac:dyDescent="0.2">
      <c r="B394" s="530">
        <f t="shared" si="36"/>
        <v>359</v>
      </c>
      <c r="C394" s="561"/>
      <c r="D394" s="531" t="s">
        <v>1456</v>
      </c>
      <c r="E394" s="524" t="str">
        <f t="shared" si="39"/>
        <v xml:space="preserve"> 1 m2 Pencucian bidang  permukaan tembok yang pernah dicat</v>
      </c>
      <c r="F394" s="544" t="s">
        <v>82</v>
      </c>
      <c r="G394" s="532">
        <f t="shared" si="40"/>
        <v>21901</v>
      </c>
      <c r="I394" s="250"/>
    </row>
    <row r="395" spans="2:9" ht="15" customHeight="1" x14ac:dyDescent="0.2">
      <c r="B395" s="530">
        <f t="shared" si="36"/>
        <v>360</v>
      </c>
      <c r="C395" s="561"/>
      <c r="D395" s="531" t="s">
        <v>1459</v>
      </c>
      <c r="E395" s="524" t="str">
        <f t="shared" si="39"/>
        <v xml:space="preserve"> 1 m2  Pengerokan karat pada permukaan baja cara manual</v>
      </c>
      <c r="F395" s="544" t="s">
        <v>82</v>
      </c>
      <c r="G395" s="532">
        <f t="shared" si="40"/>
        <v>22836</v>
      </c>
      <c r="I395" s="250"/>
    </row>
    <row r="396" spans="2:9" s="252" customFormat="1" ht="23.1" customHeight="1" x14ac:dyDescent="0.25">
      <c r="B396" s="530">
        <f t="shared" si="36"/>
        <v>361</v>
      </c>
      <c r="C396" s="562"/>
      <c r="D396" s="531" t="s">
        <v>1461</v>
      </c>
      <c r="E396" s="524" t="str">
        <f t="shared" si="39"/>
        <v>1 m2  Pengecatan bidang kayu baru (1 lapis plamuur, 1 lapis cat dasar, 2 lapis cat penutup)</v>
      </c>
      <c r="F396" s="544" t="s">
        <v>82</v>
      </c>
      <c r="G396" s="532">
        <f t="shared" si="40"/>
        <v>52538</v>
      </c>
      <c r="I396" s="253"/>
    </row>
    <row r="397" spans="2:9" s="252" customFormat="1" ht="23.1" customHeight="1" x14ac:dyDescent="0.25">
      <c r="B397" s="530">
        <f t="shared" si="36"/>
        <v>362</v>
      </c>
      <c r="C397" s="561"/>
      <c r="D397" s="531" t="s">
        <v>1472</v>
      </c>
      <c r="E397" s="524" t="str">
        <f t="shared" si="39"/>
        <v>Pengecatan 1 m2  bidang kayu baru (1 lapis plamuur, 1 lapis cat dasar, 3 lapis cat Penutup)</v>
      </c>
      <c r="F397" s="544" t="s">
        <v>82</v>
      </c>
      <c r="G397" s="532">
        <f t="shared" si="40"/>
        <v>74450</v>
      </c>
      <c r="I397" s="253"/>
    </row>
    <row r="398" spans="2:9" ht="15" customHeight="1" x14ac:dyDescent="0.2">
      <c r="B398" s="530">
        <f t="shared" si="36"/>
        <v>363</v>
      </c>
      <c r="C398" s="561"/>
      <c r="D398" s="531" t="s">
        <v>1474</v>
      </c>
      <c r="E398" s="524" t="str">
        <f t="shared" si="39"/>
        <v>Pelaburan 1 m2 bidang kayu dengan teak oil</v>
      </c>
      <c r="F398" s="544" t="s">
        <v>82</v>
      </c>
      <c r="G398" s="532">
        <f t="shared" si="40"/>
        <v>35992</v>
      </c>
      <c r="I398" s="250"/>
    </row>
    <row r="399" spans="2:9" ht="15" customHeight="1" x14ac:dyDescent="0.2">
      <c r="B399" s="530">
        <f t="shared" si="36"/>
        <v>364</v>
      </c>
      <c r="C399" s="561"/>
      <c r="D399" s="531" t="s">
        <v>1477</v>
      </c>
      <c r="E399" s="524" t="str">
        <f t="shared" si="39"/>
        <v>Pelaburan 1 m2 bidang kayu dengan politur</v>
      </c>
      <c r="F399" s="544" t="s">
        <v>82</v>
      </c>
      <c r="G399" s="532">
        <f t="shared" si="40"/>
        <v>66819</v>
      </c>
      <c r="I399" s="250"/>
    </row>
    <row r="400" spans="2:9" ht="15" customHeight="1" x14ac:dyDescent="0.2">
      <c r="B400" s="530">
        <f t="shared" si="36"/>
        <v>365</v>
      </c>
      <c r="C400" s="561"/>
      <c r="D400" s="531" t="s">
        <v>1481</v>
      </c>
      <c r="E400" s="524" t="str">
        <f t="shared" si="39"/>
        <v>Pelaburan 1 m2 bidang kayu dengan cat residu dan ter</v>
      </c>
      <c r="F400" s="544" t="s">
        <v>82</v>
      </c>
      <c r="G400" s="532">
        <f t="shared" si="40"/>
        <v>18864</v>
      </c>
      <c r="I400" s="250"/>
    </row>
    <row r="401" spans="2:11" ht="15" customHeight="1" x14ac:dyDescent="0.2">
      <c r="B401" s="530">
        <f t="shared" si="36"/>
        <v>366</v>
      </c>
      <c r="C401" s="561"/>
      <c r="D401" s="531" t="s">
        <v>1484</v>
      </c>
      <c r="E401" s="524" t="str">
        <f t="shared" si="39"/>
        <v>Pelaburan 1 m2 bidang kayu dengan vernis</v>
      </c>
      <c r="F401" s="544" t="s">
        <v>82</v>
      </c>
      <c r="G401" s="532">
        <f t="shared" si="40"/>
        <v>79475</v>
      </c>
      <c r="I401" s="250"/>
    </row>
    <row r="402" spans="2:11" s="252" customFormat="1" ht="23.1" customHeight="1" x14ac:dyDescent="0.25">
      <c r="B402" s="530">
        <f t="shared" si="36"/>
        <v>367</v>
      </c>
      <c r="C402" s="562"/>
      <c r="D402" s="531" t="s">
        <v>1488</v>
      </c>
      <c r="E402" s="524" t="str">
        <f t="shared" si="39"/>
        <v>Pengecatan 1 m2   tembok baru ( 1lapis plamuur, 1 lapis cat dasar, 2 lapis cat penutup)</v>
      </c>
      <c r="F402" s="544" t="s">
        <v>82</v>
      </c>
      <c r="G402" s="532">
        <f t="shared" si="40"/>
        <v>37532</v>
      </c>
      <c r="I402" s="253"/>
    </row>
    <row r="403" spans="2:11" ht="15" customHeight="1" x14ac:dyDescent="0.2">
      <c r="B403" s="530">
        <f t="shared" ref="B403:B452" si="41">B402+1</f>
        <v>368</v>
      </c>
      <c r="C403" s="561"/>
      <c r="D403" s="531" t="s">
        <v>1492</v>
      </c>
      <c r="E403" s="524" t="str">
        <f t="shared" si="39"/>
        <v>Pengecatan 1 m2 tembok lama ( 1 lapis cat dasar, 2 lapis cat penutup)</v>
      </c>
      <c r="F403" s="544" t="s">
        <v>82</v>
      </c>
      <c r="G403" s="532">
        <f t="shared" si="40"/>
        <v>30523</v>
      </c>
      <c r="I403" s="250"/>
    </row>
    <row r="404" spans="2:11" ht="15" customHeight="1" x14ac:dyDescent="0.2">
      <c r="B404" s="530">
        <f t="shared" si="41"/>
        <v>369</v>
      </c>
      <c r="C404" s="561"/>
      <c r="D404" s="531" t="s">
        <v>1494</v>
      </c>
      <c r="E404" s="524" t="str">
        <f t="shared" si="39"/>
        <v>Pelaburan 1 m2 tembok dengan kalkarium</v>
      </c>
      <c r="F404" s="544" t="s">
        <v>82</v>
      </c>
      <c r="G404" s="532">
        <f t="shared" si="40"/>
        <v>12750</v>
      </c>
      <c r="I404" s="250"/>
    </row>
    <row r="405" spans="2:11" ht="15" customHeight="1" x14ac:dyDescent="0.2">
      <c r="B405" s="530">
        <f t="shared" si="41"/>
        <v>370</v>
      </c>
      <c r="C405" s="561"/>
      <c r="D405" s="531" t="s">
        <v>1497</v>
      </c>
      <c r="E405" s="524" t="str">
        <f t="shared" si="39"/>
        <v>Pelaburan 1 m2 tembok dengan kapur sirih</v>
      </c>
      <c r="F405" s="544" t="s">
        <v>82</v>
      </c>
      <c r="G405" s="532">
        <f t="shared" si="40"/>
        <v>25072</v>
      </c>
      <c r="I405" s="250"/>
    </row>
    <row r="406" spans="2:11" ht="15" customHeight="1" x14ac:dyDescent="0.2">
      <c r="B406" s="530">
        <f t="shared" si="41"/>
        <v>371</v>
      </c>
      <c r="C406" s="561"/>
      <c r="D406" s="531" t="s">
        <v>1502</v>
      </c>
      <c r="E406" s="524" t="str">
        <f t="shared" si="39"/>
        <v>Pelaburan 1 m2 tembok lama dengan kapur sirih (pemeliharaan)</v>
      </c>
      <c r="F406" s="544" t="s">
        <v>82</v>
      </c>
      <c r="G406" s="532">
        <f t="shared" si="40"/>
        <v>14289</v>
      </c>
      <c r="I406" s="250"/>
    </row>
    <row r="407" spans="2:11" ht="15" customHeight="1" x14ac:dyDescent="0.2">
      <c r="B407" s="530">
        <f t="shared" si="41"/>
        <v>372</v>
      </c>
      <c r="C407" s="561"/>
      <c r="D407" s="531" t="s">
        <v>1504</v>
      </c>
      <c r="E407" s="524" t="str">
        <f t="shared" si="39"/>
        <v>Pemasangan 1 m2 wallpaper</v>
      </c>
      <c r="F407" s="544" t="s">
        <v>82</v>
      </c>
      <c r="G407" s="532">
        <f t="shared" si="40"/>
        <v>100943</v>
      </c>
      <c r="I407" s="250"/>
    </row>
    <row r="408" spans="2:11" ht="15" customHeight="1" x14ac:dyDescent="0.2">
      <c r="B408" s="530">
        <f t="shared" si="41"/>
        <v>373</v>
      </c>
      <c r="C408" s="562"/>
      <c r="D408" s="531" t="s">
        <v>1507</v>
      </c>
      <c r="E408" s="524" t="str">
        <f t="shared" si="39"/>
        <v>Pengecatan 1 m2 permukaan baja dengan menie besi</v>
      </c>
      <c r="F408" s="544" t="s">
        <v>82</v>
      </c>
      <c r="G408" s="532">
        <f t="shared" si="40"/>
        <v>43847</v>
      </c>
      <c r="I408" s="250"/>
    </row>
    <row r="409" spans="2:11" ht="15" customHeight="1" x14ac:dyDescent="0.2">
      <c r="B409" s="530">
        <f t="shared" si="41"/>
        <v>374</v>
      </c>
      <c r="C409" s="561"/>
      <c r="D409" s="531" t="s">
        <v>1510</v>
      </c>
      <c r="E409" s="524" t="str">
        <f t="shared" si="39"/>
        <v>Pengecatan 1 m2 permukaan baja dengan menie besi dengan perancah</v>
      </c>
      <c r="F409" s="544" t="s">
        <v>82</v>
      </c>
      <c r="G409" s="532">
        <f t="shared" si="40"/>
        <v>82655</v>
      </c>
      <c r="I409" s="250"/>
    </row>
    <row r="410" spans="2:11" ht="15" customHeight="1" x14ac:dyDescent="0.2">
      <c r="B410" s="530">
        <f t="shared" si="41"/>
        <v>375</v>
      </c>
      <c r="C410" s="561"/>
      <c r="D410" s="531" t="s">
        <v>1513</v>
      </c>
      <c r="E410" s="524" t="str">
        <f t="shared" si="39"/>
        <v>Pengecatan 1 m2 permukaan baja galvanis secara manual 4 lapis</v>
      </c>
      <c r="F410" s="544" t="s">
        <v>82</v>
      </c>
      <c r="G410" s="532">
        <f t="shared" si="40"/>
        <v>95422</v>
      </c>
      <c r="I410" s="250"/>
    </row>
    <row r="411" spans="2:11" s="252" customFormat="1" ht="23.1" customHeight="1" x14ac:dyDescent="0.25">
      <c r="B411" s="530">
        <f t="shared" si="41"/>
        <v>376</v>
      </c>
      <c r="C411" s="561"/>
      <c r="D411" s="531" t="s">
        <v>1518</v>
      </c>
      <c r="E411" s="524" t="str">
        <f t="shared" si="39"/>
        <v>Pengecatan 1 m2   permukaan baja galvanis secara manual sistem 1 lapis cat mutakhir</v>
      </c>
      <c r="F411" s="544" t="s">
        <v>82</v>
      </c>
      <c r="G411" s="532">
        <f t="shared" si="40"/>
        <v>40884</v>
      </c>
      <c r="I411" s="253"/>
    </row>
    <row r="412" spans="2:11" ht="15" customHeight="1" x14ac:dyDescent="0.2">
      <c r="B412" s="530">
        <f t="shared" si="41"/>
        <v>377</v>
      </c>
      <c r="C412" s="561"/>
      <c r="D412" s="531" t="s">
        <v>1520</v>
      </c>
      <c r="E412" s="524" t="str">
        <f t="shared" si="39"/>
        <v>Pengecatan 1 m2 permukaan baja galvanis secara manual sistem 3 lapis</v>
      </c>
      <c r="F412" s="544" t="s">
        <v>82</v>
      </c>
      <c r="G412" s="532">
        <f t="shared" si="40"/>
        <v>225865</v>
      </c>
      <c r="I412" s="250"/>
    </row>
    <row r="413" spans="2:11" s="252" customFormat="1" ht="23.1" customHeight="1" x14ac:dyDescent="0.25">
      <c r="B413" s="530">
        <f t="shared" si="41"/>
        <v>378</v>
      </c>
      <c r="C413" s="561"/>
      <c r="D413" s="531" t="s">
        <v>1524</v>
      </c>
      <c r="E413" s="524" t="str">
        <f t="shared" si="39"/>
        <v>Pengecatan 1 m2   permukaan baja galvanis secara semprot sistem 3 lapis cat mutakhir</v>
      </c>
      <c r="F413" s="544" t="s">
        <v>82</v>
      </c>
      <c r="G413" s="532">
        <f t="shared" si="40"/>
        <v>206712</v>
      </c>
      <c r="I413" s="253"/>
    </row>
    <row r="414" spans="2:11" ht="15" customHeight="1" x14ac:dyDescent="0.2">
      <c r="B414" s="530">
        <f t="shared" si="41"/>
        <v>379</v>
      </c>
      <c r="C414" s="561"/>
      <c r="D414" s="531" t="s">
        <v>1526</v>
      </c>
      <c r="E414" s="524" t="str">
        <f t="shared" si="39"/>
        <v xml:space="preserve">Plituran 10 m2 dengan plitur melamic </v>
      </c>
      <c r="F414" s="544" t="s">
        <v>1824</v>
      </c>
      <c r="G414" s="532">
        <f t="shared" si="40"/>
        <v>200399</v>
      </c>
      <c r="I414" s="250"/>
      <c r="J414" s="256"/>
      <c r="K414" s="257"/>
    </row>
    <row r="415" spans="2:11" ht="15" customHeight="1" x14ac:dyDescent="0.2">
      <c r="B415" s="530"/>
      <c r="C415" s="561"/>
      <c r="D415" s="536"/>
      <c r="E415" s="531"/>
      <c r="F415" s="545"/>
      <c r="G415" s="546"/>
      <c r="I415" s="250"/>
      <c r="J415" s="256"/>
      <c r="K415" s="257"/>
    </row>
    <row r="416" spans="2:11" ht="15" customHeight="1" x14ac:dyDescent="0.2">
      <c r="B416" s="530"/>
      <c r="C416" s="563" t="s">
        <v>1529</v>
      </c>
      <c r="D416" s="556" t="s">
        <v>1530</v>
      </c>
      <c r="E416" s="557"/>
      <c r="F416" s="543"/>
      <c r="G416" s="532"/>
      <c r="I416" s="250"/>
    </row>
    <row r="417" spans="2:9" ht="15" customHeight="1" x14ac:dyDescent="0.2">
      <c r="B417" s="530">
        <f>B414+1</f>
        <v>380</v>
      </c>
      <c r="C417" s="562"/>
      <c r="D417" s="531" t="s">
        <v>1531</v>
      </c>
      <c r="E417" s="524" t="str">
        <f t="shared" ref="E417:E452" si="42">VLOOKUP(D417,AHSP,2,FALSE)</f>
        <v>(K3) Pemasangan 1 buah closet duduk/monoblock</v>
      </c>
      <c r="F417" s="544" t="s">
        <v>130</v>
      </c>
      <c r="G417" s="532">
        <f t="shared" ref="G417:G452" si="43">VLOOKUP(D417,AHSP,9,FALSE)</f>
        <v>2407185</v>
      </c>
      <c r="I417" s="250"/>
    </row>
    <row r="418" spans="2:9" ht="15" customHeight="1" x14ac:dyDescent="0.2">
      <c r="B418" s="530">
        <f t="shared" si="41"/>
        <v>381</v>
      </c>
      <c r="C418" s="561"/>
      <c r="D418" s="531" t="s">
        <v>1536</v>
      </c>
      <c r="E418" s="524" t="str">
        <f t="shared" si="42"/>
        <v>Pemasangan 1 buah closet jongkok porslen</v>
      </c>
      <c r="F418" s="544" t="s">
        <v>130</v>
      </c>
      <c r="G418" s="532">
        <f t="shared" si="43"/>
        <v>648741</v>
      </c>
      <c r="I418" s="250"/>
    </row>
    <row r="419" spans="2:9" ht="15" customHeight="1" x14ac:dyDescent="0.2">
      <c r="B419" s="530">
        <f t="shared" si="41"/>
        <v>382</v>
      </c>
      <c r="C419" s="561"/>
      <c r="D419" s="531" t="s">
        <v>1539</v>
      </c>
      <c r="E419" s="524" t="str">
        <f t="shared" si="42"/>
        <v>Pemasangan 1 buah closet jongkok teraso</v>
      </c>
      <c r="F419" s="544" t="s">
        <v>130</v>
      </c>
      <c r="G419" s="532">
        <f t="shared" si="43"/>
        <v>636179</v>
      </c>
      <c r="I419" s="250"/>
    </row>
    <row r="420" spans="2:9" ht="15" customHeight="1" x14ac:dyDescent="0.2">
      <c r="B420" s="530">
        <f t="shared" si="41"/>
        <v>383</v>
      </c>
      <c r="C420" s="561"/>
      <c r="D420" s="531" t="s">
        <v>1541</v>
      </c>
      <c r="E420" s="524" t="str">
        <f t="shared" si="42"/>
        <v>(K3) Pemasangan 1 buah urinoir</v>
      </c>
      <c r="F420" s="544" t="s">
        <v>130</v>
      </c>
      <c r="G420" s="532">
        <f t="shared" si="43"/>
        <v>2712115</v>
      </c>
      <c r="I420" s="250"/>
    </row>
    <row r="421" spans="2:9" ht="15" customHeight="1" x14ac:dyDescent="0.2">
      <c r="B421" s="530">
        <f t="shared" si="41"/>
        <v>384</v>
      </c>
      <c r="C421" s="561"/>
      <c r="D421" s="531" t="s">
        <v>1544</v>
      </c>
      <c r="E421" s="524" t="str">
        <f t="shared" si="42"/>
        <v>(K3) Pemasangan 1 buah wastafel</v>
      </c>
      <c r="F421" s="544" t="s">
        <v>130</v>
      </c>
      <c r="G421" s="532">
        <f t="shared" si="43"/>
        <v>1021507</v>
      </c>
      <c r="I421" s="250"/>
    </row>
    <row r="422" spans="2:9" ht="15" customHeight="1" x14ac:dyDescent="0.2">
      <c r="B422" s="530">
        <f t="shared" si="41"/>
        <v>385</v>
      </c>
      <c r="C422" s="561"/>
      <c r="D422" s="531" t="s">
        <v>1547</v>
      </c>
      <c r="E422" s="524" t="str">
        <f t="shared" si="42"/>
        <v>(K3) Pemasangan 1 buah bathcuip porselen</v>
      </c>
      <c r="F422" s="544" t="s">
        <v>130</v>
      </c>
      <c r="G422" s="532">
        <f t="shared" si="43"/>
        <v>4576836</v>
      </c>
      <c r="I422" s="250"/>
    </row>
    <row r="423" spans="2:9" ht="15" customHeight="1" x14ac:dyDescent="0.2">
      <c r="B423" s="530">
        <f t="shared" si="41"/>
        <v>386</v>
      </c>
      <c r="C423" s="561"/>
      <c r="D423" s="531" t="s">
        <v>1550</v>
      </c>
      <c r="E423" s="524" t="str">
        <f t="shared" si="42"/>
        <v>(K3) Pemasangan 1 buah bak fibreglass vol 1 m3</v>
      </c>
      <c r="F423" s="544" t="s">
        <v>130</v>
      </c>
      <c r="G423" s="532">
        <f t="shared" si="43"/>
        <v>1817290</v>
      </c>
      <c r="I423" s="250"/>
    </row>
    <row r="424" spans="2:9" ht="15" customHeight="1" x14ac:dyDescent="0.2">
      <c r="B424" s="530">
        <f t="shared" si="41"/>
        <v>387</v>
      </c>
      <c r="C424" s="561"/>
      <c r="D424" s="531" t="s">
        <v>1553</v>
      </c>
      <c r="E424" s="524" t="str">
        <f t="shared" si="42"/>
        <v>(K3) Pemasangan 1 buah bak mandi batu bata vol 0,30 m3</v>
      </c>
      <c r="F424" s="544" t="s">
        <v>130</v>
      </c>
      <c r="G424" s="532">
        <f t="shared" si="43"/>
        <v>5170674</v>
      </c>
      <c r="I424" s="250"/>
    </row>
    <row r="425" spans="2:9" ht="15" customHeight="1" x14ac:dyDescent="0.2">
      <c r="B425" s="530">
        <f t="shared" si="41"/>
        <v>388</v>
      </c>
      <c r="C425" s="561"/>
      <c r="D425" s="531" t="s">
        <v>1556</v>
      </c>
      <c r="E425" s="524" t="str">
        <f t="shared" si="42"/>
        <v>Pemasangan 1 buah bak mandi teraso vol 0,30 m3</v>
      </c>
      <c r="F425" s="544" t="s">
        <v>130</v>
      </c>
      <c r="G425" s="532">
        <f t="shared" si="43"/>
        <v>1817290</v>
      </c>
      <c r="I425" s="250"/>
    </row>
    <row r="426" spans="2:9" ht="15" customHeight="1" x14ac:dyDescent="0.2">
      <c r="B426" s="530">
        <f t="shared" si="41"/>
        <v>389</v>
      </c>
      <c r="C426" s="562"/>
      <c r="D426" s="531" t="s">
        <v>1558</v>
      </c>
      <c r="E426" s="524" t="str">
        <f t="shared" si="42"/>
        <v>Pemasangan 1 buah bak air fibreglass vol 1 m3</v>
      </c>
      <c r="F426" s="544" t="s">
        <v>130</v>
      </c>
      <c r="G426" s="532">
        <f t="shared" si="43"/>
        <v>611387</v>
      </c>
      <c r="I426" s="250"/>
    </row>
    <row r="427" spans="2:9" ht="15" customHeight="1" x14ac:dyDescent="0.2">
      <c r="B427" s="530">
        <f t="shared" si="41"/>
        <v>390</v>
      </c>
      <c r="C427" s="561"/>
      <c r="D427" s="531" t="s">
        <v>1560</v>
      </c>
      <c r="E427" s="524" t="str">
        <f t="shared" si="42"/>
        <v>Pemasangan 1 buah bak beton volume 1 m3</v>
      </c>
      <c r="F427" s="544" t="s">
        <v>130</v>
      </c>
      <c r="G427" s="532">
        <f t="shared" si="43"/>
        <v>26569961</v>
      </c>
      <c r="I427" s="250"/>
    </row>
    <row r="428" spans="2:9" ht="15" customHeight="1" x14ac:dyDescent="0.2">
      <c r="B428" s="530">
        <f t="shared" si="41"/>
        <v>391</v>
      </c>
      <c r="C428" s="562"/>
      <c r="D428" s="531" t="s">
        <v>1566</v>
      </c>
      <c r="E428" s="524" t="str">
        <f t="shared" si="42"/>
        <v>Pemasangan 1 buah bak cuci piring stainlessteel</v>
      </c>
      <c r="F428" s="544" t="s">
        <v>130</v>
      </c>
      <c r="G428" s="532">
        <f t="shared" si="43"/>
        <v>678315</v>
      </c>
      <c r="I428" s="250"/>
    </row>
    <row r="429" spans="2:9" ht="15" customHeight="1" x14ac:dyDescent="0.2">
      <c r="B429" s="530">
        <f t="shared" si="41"/>
        <v>392</v>
      </c>
      <c r="C429" s="561"/>
      <c r="D429" s="531" t="s">
        <v>1570</v>
      </c>
      <c r="E429" s="524" t="str">
        <f t="shared" si="42"/>
        <v>Pemasangan 1 buah bak cuci piring teraso</v>
      </c>
      <c r="F429" s="544" t="s">
        <v>130</v>
      </c>
      <c r="G429" s="532">
        <f t="shared" si="43"/>
        <v>774868</v>
      </c>
      <c r="I429" s="250"/>
    </row>
    <row r="430" spans="2:9" ht="15" customHeight="1" x14ac:dyDescent="0.2">
      <c r="B430" s="530">
        <f t="shared" si="41"/>
        <v>393</v>
      </c>
      <c r="C430" s="562"/>
      <c r="D430" s="531" t="s">
        <v>1572</v>
      </c>
      <c r="E430" s="524" t="str">
        <f t="shared" si="42"/>
        <v>Pemasangan 1 buah floor drain</v>
      </c>
      <c r="F430" s="544" t="s">
        <v>130</v>
      </c>
      <c r="G430" s="532">
        <f t="shared" si="43"/>
        <v>328625</v>
      </c>
      <c r="I430" s="250"/>
    </row>
    <row r="431" spans="2:9" ht="15" customHeight="1" x14ac:dyDescent="0.2">
      <c r="B431" s="530">
        <f t="shared" si="41"/>
        <v>394</v>
      </c>
      <c r="C431" s="561"/>
      <c r="D431" s="531" t="s">
        <v>1575</v>
      </c>
      <c r="E431" s="524" t="str">
        <f t="shared" si="42"/>
        <v>Pemasangan 1 buah bak kontrol pasangan bata 30x30 tinggi 35 cm</v>
      </c>
      <c r="F431" s="544" t="s">
        <v>130</v>
      </c>
      <c r="G431" s="532">
        <f t="shared" si="43"/>
        <v>693158</v>
      </c>
      <c r="I431" s="250"/>
    </row>
    <row r="432" spans="2:9" ht="15" customHeight="1" x14ac:dyDescent="0.2">
      <c r="B432" s="530">
        <f t="shared" si="41"/>
        <v>395</v>
      </c>
      <c r="C432" s="561"/>
      <c r="D432" s="531" t="s">
        <v>1577</v>
      </c>
      <c r="E432" s="524" t="str">
        <f t="shared" si="42"/>
        <v>Pemasangan 1 buah bak kontrol pasangan bata 45cm x45cm tinggi 50 cm</v>
      </c>
      <c r="F432" s="544" t="s">
        <v>130</v>
      </c>
      <c r="G432" s="532">
        <f t="shared" si="43"/>
        <v>1017730</v>
      </c>
      <c r="I432" s="250"/>
    </row>
    <row r="433" spans="2:9" ht="15" customHeight="1" x14ac:dyDescent="0.2">
      <c r="B433" s="530">
        <f t="shared" si="41"/>
        <v>396</v>
      </c>
      <c r="C433" s="561"/>
      <c r="D433" s="531" t="s">
        <v>1579</v>
      </c>
      <c r="E433" s="524" t="str">
        <f t="shared" si="42"/>
        <v>Pemasangan 1 buah bak kontrol pasangan bata 60cm x60cm tinggi 65 cm</v>
      </c>
      <c r="F433" s="544" t="s">
        <v>130</v>
      </c>
      <c r="G433" s="532">
        <f t="shared" si="43"/>
        <v>1241620</v>
      </c>
      <c r="I433" s="250"/>
    </row>
    <row r="434" spans="2:9" ht="15" customHeight="1" x14ac:dyDescent="0.2">
      <c r="B434" s="530">
        <f t="shared" si="41"/>
        <v>397</v>
      </c>
      <c r="C434" s="561"/>
      <c r="D434" s="531" t="s">
        <v>1581</v>
      </c>
      <c r="E434" s="524" t="str">
        <f t="shared" si="42"/>
        <v>Pemasangan 1 m’ pipa galvanis diameter ½”</v>
      </c>
      <c r="F434" s="544" t="s">
        <v>127</v>
      </c>
      <c r="G434" s="532">
        <f t="shared" si="43"/>
        <v>82417</v>
      </c>
      <c r="I434" s="250"/>
    </row>
    <row r="435" spans="2:9" ht="15" customHeight="1" x14ac:dyDescent="0.2">
      <c r="B435" s="530">
        <f t="shared" si="41"/>
        <v>398</v>
      </c>
      <c r="C435" s="562"/>
      <c r="D435" s="531" t="s">
        <v>1584</v>
      </c>
      <c r="E435" s="524" t="str">
        <f t="shared" si="42"/>
        <v>Pemasangan 1 buah kran diameter ½” atau 3/4”</v>
      </c>
      <c r="F435" s="544" t="s">
        <v>127</v>
      </c>
      <c r="G435" s="532">
        <f t="shared" si="43"/>
        <v>110331</v>
      </c>
      <c r="I435" s="250"/>
    </row>
    <row r="436" spans="2:9" ht="15" customHeight="1" x14ac:dyDescent="0.2">
      <c r="B436" s="530">
        <f t="shared" si="41"/>
        <v>399</v>
      </c>
      <c r="C436" s="561"/>
      <c r="D436" s="531" t="s">
        <v>1588</v>
      </c>
      <c r="E436" s="524" t="str">
        <f t="shared" si="42"/>
        <v>Pemasangan 1 m’ pipa galvanis diameter 3/4”</v>
      </c>
      <c r="F436" s="544" t="s">
        <v>127</v>
      </c>
      <c r="G436" s="532">
        <f t="shared" si="43"/>
        <v>85981</v>
      </c>
      <c r="I436" s="250"/>
    </row>
    <row r="437" spans="2:9" ht="15" customHeight="1" x14ac:dyDescent="0.2">
      <c r="B437" s="530">
        <f t="shared" si="41"/>
        <v>400</v>
      </c>
      <c r="C437" s="561"/>
      <c r="D437" s="531" t="s">
        <v>1591</v>
      </c>
      <c r="E437" s="524" t="str">
        <f t="shared" si="42"/>
        <v>Pemasangan 1 m’ pipa galvanis diameter 1”</v>
      </c>
      <c r="F437" s="544" t="s">
        <v>127</v>
      </c>
      <c r="G437" s="532">
        <f t="shared" si="43"/>
        <v>28957</v>
      </c>
      <c r="I437" s="250"/>
    </row>
    <row r="438" spans="2:9" ht="15" customHeight="1" x14ac:dyDescent="0.2">
      <c r="B438" s="530">
        <f t="shared" si="41"/>
        <v>401</v>
      </c>
      <c r="C438" s="561"/>
      <c r="D438" s="531" t="s">
        <v>1594</v>
      </c>
      <c r="E438" s="524" t="str">
        <f t="shared" si="42"/>
        <v>Pemasangan 1 m’ pipa galvanis diameter 1 ½”</v>
      </c>
      <c r="F438" s="544" t="s">
        <v>127</v>
      </c>
      <c r="G438" s="532">
        <f t="shared" si="43"/>
        <v>190153</v>
      </c>
      <c r="I438" s="250"/>
    </row>
    <row r="439" spans="2:9" ht="15" customHeight="1" x14ac:dyDescent="0.2">
      <c r="B439" s="530">
        <f t="shared" si="41"/>
        <v>402</v>
      </c>
      <c r="C439" s="561"/>
      <c r="D439" s="531" t="s">
        <v>1597</v>
      </c>
      <c r="E439" s="524" t="str">
        <f t="shared" si="42"/>
        <v>Pemasangan 1 m’ pipa galvanis diameter 3”</v>
      </c>
      <c r="F439" s="544" t="s">
        <v>127</v>
      </c>
      <c r="G439" s="532">
        <f t="shared" si="43"/>
        <v>481277</v>
      </c>
      <c r="I439" s="250"/>
    </row>
    <row r="440" spans="2:9" ht="15" customHeight="1" x14ac:dyDescent="0.2">
      <c r="B440" s="530">
        <f t="shared" si="41"/>
        <v>403</v>
      </c>
      <c r="C440" s="561"/>
      <c r="D440" s="531" t="s">
        <v>1600</v>
      </c>
      <c r="E440" s="524" t="str">
        <f t="shared" si="42"/>
        <v>Pemasangan 1 m’ pipa galvanis diameter 4”</v>
      </c>
      <c r="F440" s="544" t="s">
        <v>127</v>
      </c>
      <c r="G440" s="532">
        <f t="shared" si="43"/>
        <v>860398</v>
      </c>
      <c r="I440" s="250"/>
    </row>
    <row r="441" spans="2:9" ht="15" customHeight="1" x14ac:dyDescent="0.2">
      <c r="B441" s="530">
        <f t="shared" si="41"/>
        <v>404</v>
      </c>
      <c r="C441" s="561"/>
      <c r="D441" s="531" t="s">
        <v>1603</v>
      </c>
      <c r="E441" s="524" t="str">
        <f t="shared" si="42"/>
        <v>Pemasangan 1 m’ pipa PVC tipe AW diameter 1/2”</v>
      </c>
      <c r="F441" s="544" t="s">
        <v>127</v>
      </c>
      <c r="G441" s="532">
        <f t="shared" si="43"/>
        <v>27539</v>
      </c>
      <c r="I441" s="250"/>
    </row>
    <row r="442" spans="2:9" ht="15" customHeight="1" x14ac:dyDescent="0.2">
      <c r="B442" s="530">
        <f t="shared" si="41"/>
        <v>405</v>
      </c>
      <c r="C442" s="561"/>
      <c r="D442" s="531" t="s">
        <v>1606</v>
      </c>
      <c r="E442" s="524" t="str">
        <f t="shared" si="42"/>
        <v>Pemasangan 1 m’ pipa PVC tipe AW diameter 3/4”</v>
      </c>
      <c r="F442" s="544" t="s">
        <v>127</v>
      </c>
      <c r="G442" s="532">
        <f t="shared" si="43"/>
        <v>31103</v>
      </c>
      <c r="I442" s="250"/>
    </row>
    <row r="443" spans="2:9" ht="15" customHeight="1" x14ac:dyDescent="0.2">
      <c r="B443" s="530">
        <f t="shared" si="41"/>
        <v>406</v>
      </c>
      <c r="C443" s="561"/>
      <c r="D443" s="531" t="s">
        <v>1609</v>
      </c>
      <c r="E443" s="524" t="str">
        <f t="shared" si="42"/>
        <v>Pemasangan 1 m’ pipa PVC tipe AW diameter 1”</v>
      </c>
      <c r="F443" s="544" t="s">
        <v>127</v>
      </c>
      <c r="G443" s="532">
        <f t="shared" si="43"/>
        <v>36271</v>
      </c>
      <c r="I443" s="250"/>
    </row>
    <row r="444" spans="2:9" ht="15" customHeight="1" x14ac:dyDescent="0.2">
      <c r="B444" s="530">
        <f t="shared" si="41"/>
        <v>407</v>
      </c>
      <c r="C444" s="561"/>
      <c r="D444" s="531" t="s">
        <v>1612</v>
      </c>
      <c r="E444" s="524" t="str">
        <f t="shared" si="42"/>
        <v>Pemasangan 1 m’ pipa PVC tipe AW diameter 11/2”</v>
      </c>
      <c r="F444" s="544" t="s">
        <v>127</v>
      </c>
      <c r="G444" s="532">
        <f t="shared" si="43"/>
        <v>59218</v>
      </c>
      <c r="I444" s="250"/>
    </row>
    <row r="445" spans="2:9" ht="15" customHeight="1" x14ac:dyDescent="0.2">
      <c r="B445" s="530">
        <f t="shared" si="41"/>
        <v>408</v>
      </c>
      <c r="C445" s="561"/>
      <c r="D445" s="531" t="s">
        <v>1615</v>
      </c>
      <c r="E445" s="524" t="str">
        <f t="shared" si="42"/>
        <v>Pemasangan 1 m’ pipa PVC tipe AW diameter 2”</v>
      </c>
      <c r="F445" s="544" t="s">
        <v>127</v>
      </c>
      <c r="G445" s="532">
        <f t="shared" si="43"/>
        <v>69019</v>
      </c>
      <c r="I445" s="250"/>
    </row>
    <row r="446" spans="2:9" ht="15" customHeight="1" x14ac:dyDescent="0.2">
      <c r="B446" s="530">
        <f t="shared" si="41"/>
        <v>409</v>
      </c>
      <c r="C446" s="561"/>
      <c r="D446" s="531" t="s">
        <v>1618</v>
      </c>
      <c r="E446" s="524" t="str">
        <f t="shared" si="42"/>
        <v>Pemasangan 1 m’ pipa PVC tipe AW diameter 21/2”</v>
      </c>
      <c r="F446" s="544" t="s">
        <v>127</v>
      </c>
      <c r="G446" s="532">
        <f t="shared" si="43"/>
        <v>101653</v>
      </c>
      <c r="I446" s="250"/>
    </row>
    <row r="447" spans="2:9" ht="15" customHeight="1" x14ac:dyDescent="0.2">
      <c r="B447" s="530">
        <f t="shared" si="41"/>
        <v>410</v>
      </c>
      <c r="C447" s="561"/>
      <c r="D447" s="531" t="s">
        <v>1621</v>
      </c>
      <c r="E447" s="524" t="str">
        <f t="shared" si="42"/>
        <v>Pemasangan 1 m’ pipa PVC tipe AW diameter 3”</v>
      </c>
      <c r="F447" s="544" t="s">
        <v>127</v>
      </c>
      <c r="G447" s="532">
        <f t="shared" si="43"/>
        <v>125710</v>
      </c>
      <c r="I447" s="250"/>
    </row>
    <row r="448" spans="2:9" ht="15" customHeight="1" x14ac:dyDescent="0.2">
      <c r="B448" s="530">
        <f t="shared" si="41"/>
        <v>411</v>
      </c>
      <c r="C448" s="562"/>
      <c r="D448" s="531" t="s">
        <v>1624</v>
      </c>
      <c r="E448" s="524" t="str">
        <f t="shared" si="42"/>
        <v>Pemasangan 1 m’ pipa PVC tipe AW diameter 4”</v>
      </c>
      <c r="F448" s="544" t="s">
        <v>127</v>
      </c>
      <c r="G448" s="532">
        <f t="shared" si="43"/>
        <v>154222</v>
      </c>
      <c r="I448" s="250"/>
    </row>
    <row r="449" spans="2:12" ht="15" customHeight="1" x14ac:dyDescent="0.2">
      <c r="B449" s="530">
        <f t="shared" si="41"/>
        <v>412</v>
      </c>
      <c r="C449" s="561"/>
      <c r="D449" s="531" t="s">
        <v>1627</v>
      </c>
      <c r="E449" s="524" t="str">
        <f t="shared" si="42"/>
        <v>Pemasangan 1 m’ pipa air limbah jenis pipa tanah</v>
      </c>
      <c r="F449" s="544" t="s">
        <v>127</v>
      </c>
      <c r="G449" s="532">
        <f t="shared" si="43"/>
        <v>200665</v>
      </c>
      <c r="I449" s="250"/>
    </row>
    <row r="450" spans="2:12" ht="15" customHeight="1" x14ac:dyDescent="0.2">
      <c r="B450" s="530">
        <f t="shared" si="41"/>
        <v>413</v>
      </c>
      <c r="C450" s="561"/>
      <c r="D450" s="531" t="s">
        <v>1630</v>
      </c>
      <c r="E450" s="524" t="str">
        <f t="shared" si="42"/>
        <v>Pemasangan 1 m’ pipa air limbah jenis pipa tanah diameter 15 cm</v>
      </c>
      <c r="F450" s="544" t="s">
        <v>127</v>
      </c>
      <c r="G450" s="532">
        <f t="shared" si="43"/>
        <v>123650</v>
      </c>
      <c r="I450" s="250"/>
    </row>
    <row r="451" spans="2:12" ht="15" customHeight="1" x14ac:dyDescent="0.2">
      <c r="B451" s="530">
        <f t="shared" si="41"/>
        <v>414</v>
      </c>
      <c r="C451" s="561"/>
      <c r="D451" s="531" t="s">
        <v>1632</v>
      </c>
      <c r="E451" s="524" t="str">
        <f t="shared" si="42"/>
        <v>Pemasangan 1 m’ pipa beton diameter 15 - 20 cm</v>
      </c>
      <c r="F451" s="544" t="s">
        <v>127</v>
      </c>
      <c r="G451" s="532">
        <f t="shared" si="43"/>
        <v>143608</v>
      </c>
      <c r="I451" s="250"/>
    </row>
    <row r="452" spans="2:12" ht="15" customHeight="1" x14ac:dyDescent="0.2">
      <c r="B452" s="530">
        <f t="shared" si="41"/>
        <v>415</v>
      </c>
      <c r="C452" s="561"/>
      <c r="D452" s="531" t="s">
        <v>1635</v>
      </c>
      <c r="E452" s="524" t="str">
        <f t="shared" si="42"/>
        <v>Pemasangan 1 m’ pipa beton diameter 30 - 100 cm</v>
      </c>
      <c r="F452" s="544" t="s">
        <v>127</v>
      </c>
      <c r="G452" s="532">
        <f t="shared" si="43"/>
        <v>230915</v>
      </c>
      <c r="I452" s="250"/>
    </row>
    <row r="453" spans="2:12" ht="15" customHeight="1" x14ac:dyDescent="0.2">
      <c r="B453" s="530"/>
      <c r="C453" s="561"/>
      <c r="D453" s="536"/>
      <c r="E453" s="531"/>
      <c r="F453" s="545"/>
      <c r="G453" s="546"/>
      <c r="I453" s="250"/>
    </row>
    <row r="454" spans="2:12" ht="15" customHeight="1" x14ac:dyDescent="0.2">
      <c r="B454" s="530"/>
      <c r="C454" s="560" t="s">
        <v>1771</v>
      </c>
      <c r="D454" s="567" t="s">
        <v>1772</v>
      </c>
      <c r="E454" s="568"/>
      <c r="F454" s="545"/>
      <c r="G454" s="546"/>
      <c r="I454" s="250"/>
      <c r="J454" s="256"/>
      <c r="K454" s="257"/>
    </row>
    <row r="455" spans="2:12" ht="15" customHeight="1" x14ac:dyDescent="0.2">
      <c r="B455" s="530">
        <f>B452+1</f>
        <v>416</v>
      </c>
      <c r="C455" s="562"/>
      <c r="D455" s="531" t="s">
        <v>1773</v>
      </c>
      <c r="E455" s="524" t="str">
        <f t="shared" ref="E455:E460" si="44">VLOOKUP(D455,AHSP,2,FALSE)</f>
        <v xml:space="preserve">(K3) Pemasangan 1 buah titik lampu </v>
      </c>
      <c r="F455" s="544" t="s">
        <v>130</v>
      </c>
      <c r="G455" s="532">
        <f t="shared" ref="G455:G460" si="45">VLOOKUP(D455,AHSP,9,FALSE)</f>
        <v>931133</v>
      </c>
      <c r="I455" s="250"/>
    </row>
    <row r="456" spans="2:12" ht="15" customHeight="1" x14ac:dyDescent="0.25">
      <c r="B456" s="530">
        <f t="shared" ref="B456:B460" si="46">B455+1</f>
        <v>417</v>
      </c>
      <c r="C456" s="562"/>
      <c r="D456" s="531" t="s">
        <v>1783</v>
      </c>
      <c r="E456" s="524" t="str">
        <f t="shared" si="44"/>
        <v>Memasang 1 Titik Instalasi Penerangan</v>
      </c>
      <c r="F456" s="544" t="s">
        <v>1822</v>
      </c>
      <c r="G456" s="532">
        <f t="shared" si="45"/>
        <v>306611</v>
      </c>
      <c r="H456" s="260"/>
      <c r="I456" s="261"/>
      <c r="J456" s="262"/>
    </row>
    <row r="457" spans="2:12" ht="15" customHeight="1" x14ac:dyDescent="0.25">
      <c r="B457" s="530">
        <f t="shared" si="46"/>
        <v>418</v>
      </c>
      <c r="C457" s="564"/>
      <c r="D457" s="531" t="s">
        <v>1911</v>
      </c>
      <c r="E457" s="524" t="str">
        <f t="shared" si="44"/>
        <v>Pemasangan 1 buah saklar ganda</v>
      </c>
      <c r="F457" s="547" t="s">
        <v>130</v>
      </c>
      <c r="G457" s="532">
        <f t="shared" si="45"/>
        <v>84535</v>
      </c>
      <c r="H457" s="260"/>
      <c r="I457" s="261"/>
      <c r="J457" s="262"/>
    </row>
    <row r="458" spans="2:12" ht="15" customHeight="1" x14ac:dyDescent="0.25">
      <c r="B458" s="530">
        <f t="shared" si="46"/>
        <v>419</v>
      </c>
      <c r="C458" s="564"/>
      <c r="D458" s="531" t="s">
        <v>1913</v>
      </c>
      <c r="E458" s="524" t="str">
        <f t="shared" si="44"/>
        <v>Pemasangan 1 buah saklar tunggal</v>
      </c>
      <c r="F458" s="547" t="s">
        <v>130</v>
      </c>
      <c r="G458" s="532">
        <f t="shared" si="45"/>
        <v>77935</v>
      </c>
      <c r="H458" s="260"/>
      <c r="I458" s="261"/>
      <c r="J458" s="262"/>
    </row>
    <row r="459" spans="2:12" ht="15" customHeight="1" x14ac:dyDescent="0.25">
      <c r="B459" s="530">
        <f t="shared" si="46"/>
        <v>420</v>
      </c>
      <c r="C459" s="564"/>
      <c r="D459" s="531" t="s">
        <v>1915</v>
      </c>
      <c r="E459" s="524" t="str">
        <f t="shared" si="44"/>
        <v>Pemasangan 1 buah stop kontak</v>
      </c>
      <c r="F459" s="547" t="s">
        <v>130</v>
      </c>
      <c r="G459" s="532">
        <f t="shared" si="45"/>
        <v>70697</v>
      </c>
      <c r="H459" s="260"/>
      <c r="I459" s="261"/>
      <c r="J459" s="262"/>
    </row>
    <row r="460" spans="2:12" ht="15" customHeight="1" x14ac:dyDescent="0.25">
      <c r="B460" s="530">
        <f t="shared" si="46"/>
        <v>421</v>
      </c>
      <c r="C460" s="564"/>
      <c r="D460" s="531" t="s">
        <v>1917</v>
      </c>
      <c r="E460" s="524" t="str">
        <f t="shared" si="44"/>
        <v>Pemasangan 1 buah MCB Box</v>
      </c>
      <c r="F460" s="547" t="s">
        <v>130</v>
      </c>
      <c r="G460" s="532">
        <f t="shared" si="45"/>
        <v>496870</v>
      </c>
      <c r="H460" s="260"/>
      <c r="I460" s="261"/>
      <c r="J460" s="262"/>
    </row>
    <row r="461" spans="2:12" ht="15" customHeight="1" thickBot="1" x14ac:dyDescent="0.3">
      <c r="B461" s="548"/>
      <c r="C461" s="565"/>
      <c r="D461" s="549"/>
      <c r="E461" s="537"/>
      <c r="F461" s="550"/>
      <c r="G461" s="551"/>
      <c r="H461" s="260"/>
      <c r="I461" s="261"/>
      <c r="J461" s="262"/>
    </row>
    <row r="462" spans="2:12" ht="15" customHeight="1" x14ac:dyDescent="0.25">
      <c r="E462" s="538"/>
      <c r="F462" s="552"/>
      <c r="G462" s="553"/>
      <c r="H462"/>
      <c r="I462"/>
      <c r="J462"/>
      <c r="K462"/>
      <c r="L462"/>
    </row>
    <row r="463" spans="2:12" ht="15" customHeight="1" x14ac:dyDescent="0.25">
      <c r="E463" s="538"/>
      <c r="F463" s="552"/>
      <c r="G463" s="553"/>
      <c r="H463"/>
      <c r="I463"/>
      <c r="J463"/>
      <c r="K463"/>
      <c r="L463"/>
    </row>
    <row r="464" spans="2:12" ht="15" customHeight="1" x14ac:dyDescent="0.25">
      <c r="E464" s="538"/>
      <c r="F464" s="552"/>
      <c r="G464" s="553"/>
      <c r="H464"/>
      <c r="I464"/>
      <c r="J464"/>
      <c r="K464"/>
      <c r="L464"/>
    </row>
    <row r="465" spans="4:12" ht="15" customHeight="1" x14ac:dyDescent="0.25">
      <c r="E465" s="538"/>
      <c r="F465" s="552"/>
      <c r="G465" s="553"/>
      <c r="H465"/>
      <c r="I465"/>
      <c r="J465"/>
      <c r="K465"/>
      <c r="L465"/>
    </row>
    <row r="466" spans="4:12" ht="15" customHeight="1" x14ac:dyDescent="0.25">
      <c r="E466" s="538"/>
      <c r="F466" s="552"/>
      <c r="G466" s="553"/>
      <c r="H466"/>
      <c r="I466"/>
      <c r="J466"/>
      <c r="K466"/>
      <c r="L466"/>
    </row>
    <row r="467" spans="4:12" ht="15" customHeight="1" x14ac:dyDescent="0.25">
      <c r="E467" s="538"/>
      <c r="F467" s="552"/>
      <c r="G467" s="553"/>
      <c r="H467"/>
      <c r="I467"/>
      <c r="J467"/>
      <c r="K467"/>
      <c r="L467"/>
    </row>
    <row r="468" spans="4:12" ht="15" customHeight="1" x14ac:dyDescent="0.25">
      <c r="D468" s="109"/>
      <c r="H468"/>
      <c r="I468"/>
      <c r="J468"/>
      <c r="K468"/>
      <c r="L468"/>
    </row>
    <row r="469" spans="4:12" ht="15" customHeight="1" x14ac:dyDescent="0.25">
      <c r="E469" s="538"/>
      <c r="F469" s="552"/>
      <c r="G469" s="553"/>
      <c r="H469"/>
      <c r="I469"/>
      <c r="J469"/>
      <c r="K469"/>
      <c r="L469"/>
    </row>
    <row r="470" spans="4:12" ht="15" customHeight="1" x14ac:dyDescent="0.25">
      <c r="E470" s="538"/>
      <c r="F470" s="552"/>
      <c r="G470" s="553"/>
      <c r="H470"/>
      <c r="I470"/>
      <c r="J470"/>
      <c r="K470"/>
      <c r="L470"/>
    </row>
    <row r="471" spans="4:12" ht="15" customHeight="1" x14ac:dyDescent="0.25">
      <c r="E471" s="538"/>
      <c r="F471" s="552"/>
      <c r="G471" s="553"/>
      <c r="H471"/>
      <c r="I471"/>
      <c r="J471"/>
      <c r="K471"/>
      <c r="L471"/>
    </row>
    <row r="472" spans="4:12" ht="15" customHeight="1" x14ac:dyDescent="0.25">
      <c r="E472" s="538"/>
      <c r="F472" s="552"/>
      <c r="G472" s="553"/>
      <c r="H472"/>
      <c r="I472"/>
      <c r="J472"/>
      <c r="K472"/>
      <c r="L472"/>
    </row>
    <row r="473" spans="4:12" ht="15" customHeight="1" x14ac:dyDescent="0.25">
      <c r="E473" s="538"/>
      <c r="F473" s="552"/>
      <c r="G473" s="553"/>
      <c r="H473"/>
      <c r="I473"/>
      <c r="J473"/>
      <c r="K473"/>
      <c r="L473"/>
    </row>
    <row r="474" spans="4:12" ht="15" customHeight="1" x14ac:dyDescent="0.25">
      <c r="E474" s="538"/>
      <c r="F474" s="552"/>
      <c r="G474" s="553"/>
      <c r="H474"/>
      <c r="I474"/>
      <c r="J474"/>
      <c r="K474"/>
      <c r="L474"/>
    </row>
    <row r="475" spans="4:12" ht="15" customHeight="1" x14ac:dyDescent="0.25">
      <c r="E475" s="538"/>
      <c r="F475" s="552"/>
      <c r="G475" s="553"/>
      <c r="H475"/>
      <c r="I475"/>
      <c r="J475"/>
      <c r="K475"/>
      <c r="L475"/>
    </row>
    <row r="476" spans="4:12" ht="15" customHeight="1" x14ac:dyDescent="0.25">
      <c r="E476" s="538"/>
      <c r="F476" s="552"/>
      <c r="G476" s="553"/>
      <c r="H476"/>
      <c r="I476"/>
      <c r="J476"/>
      <c r="K476"/>
      <c r="L476"/>
    </row>
    <row r="477" spans="4:12" ht="15" customHeight="1" x14ac:dyDescent="0.25">
      <c r="E477" s="538"/>
      <c r="F477" s="552"/>
      <c r="G477" s="553"/>
      <c r="H477"/>
      <c r="I477"/>
      <c r="J477"/>
      <c r="K477"/>
      <c r="L477"/>
    </row>
    <row r="478" spans="4:12" ht="15" customHeight="1" x14ac:dyDescent="0.25">
      <c r="E478" s="538"/>
      <c r="F478" s="552"/>
      <c r="G478" s="553"/>
      <c r="H478"/>
      <c r="I478"/>
      <c r="J478"/>
      <c r="K478"/>
      <c r="L478"/>
    </row>
    <row r="479" spans="4:12" ht="15" customHeight="1" x14ac:dyDescent="0.25">
      <c r="E479" s="538"/>
      <c r="F479" s="552"/>
      <c r="G479" s="553"/>
      <c r="H479"/>
      <c r="I479"/>
      <c r="J479"/>
      <c r="K479"/>
      <c r="L479"/>
    </row>
    <row r="480" spans="4:12" ht="15" customHeight="1" x14ac:dyDescent="0.25">
      <c r="E480" s="538"/>
      <c r="F480" s="552"/>
      <c r="G480" s="553"/>
      <c r="H480"/>
      <c r="I480"/>
      <c r="J480"/>
      <c r="K480"/>
      <c r="L480"/>
    </row>
    <row r="481" spans="5:12" ht="15" customHeight="1" x14ac:dyDescent="0.25">
      <c r="E481" s="538"/>
      <c r="F481" s="552"/>
      <c r="G481" s="553"/>
      <c r="H481"/>
      <c r="I481"/>
      <c r="J481"/>
      <c r="K481"/>
      <c r="L481"/>
    </row>
    <row r="482" spans="5:12" ht="15" customHeight="1" x14ac:dyDescent="0.25">
      <c r="E482" s="538"/>
      <c r="F482" s="552"/>
      <c r="G482" s="553"/>
      <c r="H482"/>
      <c r="I482"/>
      <c r="J482"/>
      <c r="K482"/>
      <c r="L482"/>
    </row>
    <row r="483" spans="5:12" ht="15" customHeight="1" x14ac:dyDescent="0.25">
      <c r="E483" s="538"/>
      <c r="F483" s="552"/>
      <c r="G483" s="553"/>
      <c r="H483"/>
      <c r="I483"/>
      <c r="J483"/>
      <c r="K483"/>
      <c r="L483"/>
    </row>
    <row r="484" spans="5:12" ht="15" customHeight="1" x14ac:dyDescent="0.25">
      <c r="E484" s="538"/>
      <c r="F484" s="552"/>
      <c r="G484" s="553"/>
      <c r="H484"/>
      <c r="I484"/>
      <c r="J484"/>
      <c r="K484"/>
      <c r="L484"/>
    </row>
  </sheetData>
  <mergeCells count="16">
    <mergeCell ref="D454:E454"/>
    <mergeCell ref="D416:E416"/>
    <mergeCell ref="D277:E277"/>
    <mergeCell ref="D292:E292"/>
    <mergeCell ref="D337:E337"/>
    <mergeCell ref="D367:E367"/>
    <mergeCell ref="D392:E392"/>
    <mergeCell ref="D56:E56"/>
    <mergeCell ref="D95:E95"/>
    <mergeCell ref="D121:E121"/>
    <mergeCell ref="D176:E176"/>
    <mergeCell ref="D207:E207"/>
    <mergeCell ref="C7:D7"/>
    <mergeCell ref="D9:E9"/>
    <mergeCell ref="D27:E27"/>
    <mergeCell ref="D43:E43"/>
  </mergeCells>
  <phoneticPr fontId="3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A2C0D-CAAF-417E-8186-CB639256CEC4}">
  <dimension ref="A1:Q8065"/>
  <sheetViews>
    <sheetView showGridLines="0" zoomScale="80" zoomScaleNormal="80" zoomScaleSheetLayoutView="70" workbookViewId="0">
      <selection activeCell="L46" sqref="L46"/>
    </sheetView>
  </sheetViews>
  <sheetFormatPr defaultColWidth="9.140625" defaultRowHeight="12.75" x14ac:dyDescent="0.25"/>
  <cols>
    <col min="1" max="1" width="9.140625" style="108"/>
    <col min="2" max="2" width="11.42578125" style="104" customWidth="1"/>
    <col min="3" max="3" width="5.42578125" style="104" customWidth="1"/>
    <col min="4" max="4" width="36.7109375" style="104" customWidth="1"/>
    <col min="5" max="5" width="16" style="105" customWidth="1"/>
    <col min="6" max="6" width="9.140625" style="105"/>
    <col min="7" max="7" width="10.140625" style="106" customWidth="1"/>
    <col min="8" max="8" width="18.42578125" style="104" customWidth="1"/>
    <col min="9" max="9" width="19.42578125" style="104" customWidth="1"/>
    <col min="10" max="10" width="16.28515625" style="104" bestFit="1" customWidth="1"/>
    <col min="11" max="11" width="9" style="104" customWidth="1"/>
    <col min="12" max="12" width="7.140625" style="104" customWidth="1"/>
    <col min="13" max="13" width="4" style="104" bestFit="1" customWidth="1"/>
    <col min="14" max="14" width="13.28515625" style="107" bestFit="1" customWidth="1"/>
    <col min="15" max="15" width="14.28515625" style="107" bestFit="1" customWidth="1"/>
    <col min="16" max="16" width="10" style="104" bestFit="1" customWidth="1"/>
    <col min="17" max="17" width="18" style="104" bestFit="1" customWidth="1"/>
    <col min="18" max="18" width="18.28515625" style="104" bestFit="1" customWidth="1"/>
    <col min="19" max="16384" width="9.140625" style="104"/>
  </cols>
  <sheetData>
    <row r="1" spans="1:10" ht="26.25" customHeight="1" x14ac:dyDescent="0.25">
      <c r="A1" s="472" t="s">
        <v>1927</v>
      </c>
      <c r="B1" s="472"/>
      <c r="C1" s="472"/>
      <c r="D1" s="472"/>
      <c r="E1" s="472"/>
      <c r="F1" s="472"/>
      <c r="G1" s="472"/>
      <c r="H1" s="472"/>
      <c r="I1" s="472"/>
      <c r="J1" s="472"/>
    </row>
    <row r="2" spans="1:10" ht="15.75" x14ac:dyDescent="0.25">
      <c r="A2" s="473" t="s">
        <v>1928</v>
      </c>
      <c r="B2" s="473"/>
      <c r="C2" s="473"/>
      <c r="D2" s="473"/>
      <c r="E2" s="473"/>
      <c r="F2" s="473"/>
      <c r="G2" s="473"/>
      <c r="H2" s="473"/>
      <c r="I2" s="473"/>
      <c r="J2" s="473"/>
    </row>
    <row r="4" spans="1:10" ht="15.95" customHeight="1" x14ac:dyDescent="0.25">
      <c r="A4" s="102" t="s">
        <v>355</v>
      </c>
      <c r="B4" s="103" t="s">
        <v>356</v>
      </c>
    </row>
    <row r="5" spans="1:10" ht="15.95" customHeight="1" thickBot="1" x14ac:dyDescent="0.3">
      <c r="B5" s="104" t="s">
        <v>357</v>
      </c>
      <c r="C5" s="109" t="s">
        <v>358</v>
      </c>
      <c r="J5" s="110">
        <f>I26</f>
        <v>698740</v>
      </c>
    </row>
    <row r="6" spans="1:10" ht="15.95" customHeight="1" thickBot="1" x14ac:dyDescent="0.3">
      <c r="C6" s="111" t="s">
        <v>328</v>
      </c>
      <c r="D6" s="112" t="s">
        <v>359</v>
      </c>
      <c r="E6" s="113" t="s">
        <v>360</v>
      </c>
      <c r="F6" s="113" t="s">
        <v>330</v>
      </c>
      <c r="G6" s="114" t="s">
        <v>361</v>
      </c>
      <c r="H6" s="112" t="s">
        <v>362</v>
      </c>
      <c r="I6" s="115" t="s">
        <v>363</v>
      </c>
    </row>
    <row r="7" spans="1:10" ht="15.95" customHeight="1" x14ac:dyDescent="0.25">
      <c r="C7" s="116" t="s">
        <v>364</v>
      </c>
      <c r="D7" s="117" t="s">
        <v>365</v>
      </c>
      <c r="E7" s="118"/>
      <c r="F7" s="118"/>
      <c r="G7" s="119"/>
      <c r="H7" s="120"/>
      <c r="I7" s="121"/>
    </row>
    <row r="8" spans="1:10" ht="15.95" customHeight="1" x14ac:dyDescent="0.25">
      <c r="C8" s="122"/>
      <c r="D8" s="117" t="s">
        <v>366</v>
      </c>
      <c r="E8" s="123" t="s">
        <v>367</v>
      </c>
      <c r="F8" s="123" t="s">
        <v>368</v>
      </c>
      <c r="G8" s="124">
        <v>0.4</v>
      </c>
      <c r="H8" s="125">
        <f>VLOOKUP(D8,Upah,8,FALSE)</f>
        <v>125000</v>
      </c>
      <c r="I8" s="126">
        <f>G8*H8</f>
        <v>50000</v>
      </c>
    </row>
    <row r="9" spans="1:10" ht="15.95" customHeight="1" x14ac:dyDescent="0.25">
      <c r="C9" s="122"/>
      <c r="D9" s="117" t="s">
        <v>369</v>
      </c>
      <c r="E9" s="123" t="s">
        <v>370</v>
      </c>
      <c r="F9" s="123" t="s">
        <v>368</v>
      </c>
      <c r="G9" s="124">
        <v>0.2</v>
      </c>
      <c r="H9" s="125">
        <f>VLOOKUP(D9,Upah,8,FALSE)</f>
        <v>150000</v>
      </c>
      <c r="I9" s="126">
        <f>G9*H9</f>
        <v>30000</v>
      </c>
    </row>
    <row r="10" spans="1:10" ht="15.95" customHeight="1" x14ac:dyDescent="0.25">
      <c r="C10" s="122"/>
      <c r="D10" s="117" t="s">
        <v>371</v>
      </c>
      <c r="E10" s="123" t="s">
        <v>372</v>
      </c>
      <c r="F10" s="123" t="s">
        <v>368</v>
      </c>
      <c r="G10" s="124">
        <v>0.02</v>
      </c>
      <c r="H10" s="125">
        <f>VLOOKUP(D10,Upah,8,FALSE)</f>
        <v>165000</v>
      </c>
      <c r="I10" s="126">
        <f>G10*H10</f>
        <v>3300</v>
      </c>
    </row>
    <row r="11" spans="1:10" ht="15.95" customHeight="1" thickBot="1" x14ac:dyDescent="0.3">
      <c r="C11" s="127"/>
      <c r="D11" s="128" t="s">
        <v>373</v>
      </c>
      <c r="E11" s="129" t="s">
        <v>374</v>
      </c>
      <c r="F11" s="129" t="s">
        <v>368</v>
      </c>
      <c r="G11" s="130">
        <v>0.02</v>
      </c>
      <c r="H11" s="131">
        <f>VLOOKUP(D11,Upah,8,FALSE)</f>
        <v>170000</v>
      </c>
      <c r="I11" s="126">
        <f>G11*H11</f>
        <v>3400</v>
      </c>
    </row>
    <row r="12" spans="1:10" ht="15.95" customHeight="1" thickBot="1" x14ac:dyDescent="0.3">
      <c r="C12" s="132"/>
      <c r="D12" s="133"/>
      <c r="E12" s="134"/>
      <c r="F12" s="134"/>
      <c r="G12" s="135" t="s">
        <v>375</v>
      </c>
      <c r="H12" s="136"/>
      <c r="I12" s="137">
        <f>SUM(I8:I11)</f>
        <v>86700</v>
      </c>
    </row>
    <row r="13" spans="1:10" ht="15.95" customHeight="1" x14ac:dyDescent="0.25">
      <c r="C13" s="138" t="s">
        <v>376</v>
      </c>
      <c r="D13" s="139" t="s">
        <v>377</v>
      </c>
      <c r="E13" s="140"/>
      <c r="F13" s="140"/>
      <c r="G13" s="141"/>
      <c r="H13" s="142"/>
      <c r="I13" s="143"/>
    </row>
    <row r="14" spans="1:10" ht="15.95" customHeight="1" x14ac:dyDescent="0.25">
      <c r="C14" s="122"/>
      <c r="D14" s="117" t="s">
        <v>378</v>
      </c>
      <c r="E14" s="118"/>
      <c r="F14" s="123" t="s">
        <v>379</v>
      </c>
      <c r="G14" s="124">
        <v>1.25</v>
      </c>
      <c r="H14" s="144">
        <f t="shared" ref="H14:H20" si="0">VLOOKUP(D14,Bahan,6,FALSE)</f>
        <v>31250</v>
      </c>
      <c r="I14" s="126">
        <f t="shared" ref="I14:I20" si="1">G14*H14</f>
        <v>39062.5</v>
      </c>
    </row>
    <row r="15" spans="1:10" ht="15.95" customHeight="1" x14ac:dyDescent="0.25">
      <c r="C15" s="122"/>
      <c r="D15" s="117" t="s">
        <v>380</v>
      </c>
      <c r="E15" s="118"/>
      <c r="F15" s="123" t="s">
        <v>159</v>
      </c>
      <c r="G15" s="124">
        <v>5</v>
      </c>
      <c r="H15" s="144">
        <f t="shared" si="0"/>
        <v>1880</v>
      </c>
      <c r="I15" s="126">
        <f t="shared" si="1"/>
        <v>9400</v>
      </c>
    </row>
    <row r="16" spans="1:10" ht="15.95" customHeight="1" x14ac:dyDescent="0.25">
      <c r="C16" s="122"/>
      <c r="D16" s="117" t="s">
        <v>1919</v>
      </c>
      <c r="E16" s="118"/>
      <c r="F16" s="123" t="s">
        <v>158</v>
      </c>
      <c r="G16" s="124">
        <v>5.0000000000000001E-3</v>
      </c>
      <c r="H16" s="144">
        <f t="shared" si="0"/>
        <v>350000</v>
      </c>
      <c r="I16" s="126">
        <f t="shared" si="1"/>
        <v>1750</v>
      </c>
    </row>
    <row r="17" spans="2:10" ht="15.95" customHeight="1" x14ac:dyDescent="0.25">
      <c r="C17" s="122"/>
      <c r="D17" s="117" t="s">
        <v>381</v>
      </c>
      <c r="E17" s="118"/>
      <c r="F17" s="123" t="s">
        <v>158</v>
      </c>
      <c r="G17" s="124">
        <v>8.9999999999999993E-3</v>
      </c>
      <c r="H17" s="144">
        <f t="shared" si="0"/>
        <v>600000</v>
      </c>
      <c r="I17" s="126">
        <f t="shared" si="1"/>
        <v>5400</v>
      </c>
    </row>
    <row r="18" spans="2:10" ht="15.95" customHeight="1" x14ac:dyDescent="0.25">
      <c r="C18" s="122"/>
      <c r="D18" s="117" t="s">
        <v>382</v>
      </c>
      <c r="E18" s="118"/>
      <c r="F18" s="123" t="s">
        <v>158</v>
      </c>
      <c r="G18" s="124">
        <v>7.1999999999999995E-2</v>
      </c>
      <c r="H18" s="144">
        <f t="shared" si="0"/>
        <v>6765000</v>
      </c>
      <c r="I18" s="126">
        <f t="shared" si="1"/>
        <v>487079.99999999994</v>
      </c>
    </row>
    <row r="19" spans="2:10" ht="15.95" customHeight="1" x14ac:dyDescent="0.25">
      <c r="C19" s="122"/>
      <c r="D19" s="117" t="s">
        <v>383</v>
      </c>
      <c r="E19" s="118"/>
      <c r="F19" s="123" t="s">
        <v>159</v>
      </c>
      <c r="G19" s="124">
        <v>0.06</v>
      </c>
      <c r="H19" s="144">
        <f t="shared" si="0"/>
        <v>27970</v>
      </c>
      <c r="I19" s="126">
        <f t="shared" si="1"/>
        <v>1678.2</v>
      </c>
    </row>
    <row r="20" spans="2:10" ht="15.95" customHeight="1" thickBot="1" x14ac:dyDescent="0.3">
      <c r="C20" s="127"/>
      <c r="D20" s="128" t="s">
        <v>384</v>
      </c>
      <c r="E20" s="145"/>
      <c r="F20" s="129" t="s">
        <v>385</v>
      </c>
      <c r="G20" s="130">
        <v>0.4</v>
      </c>
      <c r="H20" s="144">
        <f t="shared" si="0"/>
        <v>10370</v>
      </c>
      <c r="I20" s="146">
        <f t="shared" si="1"/>
        <v>4148</v>
      </c>
    </row>
    <row r="21" spans="2:10" ht="15.95" customHeight="1" thickBot="1" x14ac:dyDescent="0.3">
      <c r="C21" s="132"/>
      <c r="D21" s="133"/>
      <c r="E21" s="134"/>
      <c r="F21" s="134"/>
      <c r="G21" s="135" t="s">
        <v>386</v>
      </c>
      <c r="H21" s="136"/>
      <c r="I21" s="137">
        <f>SUM(I13:I20)</f>
        <v>548518.69999999995</v>
      </c>
    </row>
    <row r="22" spans="2:10" ht="15.95" customHeight="1" thickBot="1" x14ac:dyDescent="0.3">
      <c r="C22" s="147" t="s">
        <v>387</v>
      </c>
      <c r="D22" s="148" t="s">
        <v>388</v>
      </c>
      <c r="E22" s="149"/>
      <c r="F22" s="149"/>
      <c r="G22" s="150"/>
      <c r="H22" s="151"/>
      <c r="I22" s="152"/>
    </row>
    <row r="23" spans="2:10" ht="15.95" customHeight="1" thickBot="1" x14ac:dyDescent="0.3">
      <c r="C23" s="132"/>
      <c r="D23" s="133"/>
      <c r="E23" s="134"/>
      <c r="F23" s="134"/>
      <c r="G23" s="135" t="s">
        <v>389</v>
      </c>
      <c r="H23" s="136"/>
      <c r="I23" s="137">
        <f>I22</f>
        <v>0</v>
      </c>
    </row>
    <row r="24" spans="2:10" ht="15.95" customHeight="1" x14ac:dyDescent="0.25">
      <c r="C24" s="138" t="s">
        <v>390</v>
      </c>
      <c r="D24" s="139" t="s">
        <v>391</v>
      </c>
      <c r="E24" s="140"/>
      <c r="F24" s="140"/>
      <c r="G24" s="141"/>
      <c r="H24" s="142"/>
      <c r="I24" s="143">
        <f>SUM(I8:I23)/2</f>
        <v>635218.69999999995</v>
      </c>
    </row>
    <row r="25" spans="2:10" ht="15.95" customHeight="1" thickBot="1" x14ac:dyDescent="0.3">
      <c r="C25" s="153" t="s">
        <v>392</v>
      </c>
      <c r="D25" s="128" t="s">
        <v>393</v>
      </c>
      <c r="E25" s="145"/>
      <c r="F25" s="145"/>
      <c r="G25" s="154">
        <v>0.1</v>
      </c>
      <c r="H25" s="155"/>
      <c r="I25" s="146">
        <f>G25*I24</f>
        <v>63521.869999999995</v>
      </c>
    </row>
    <row r="26" spans="2:10" ht="15.95" customHeight="1" thickBot="1" x14ac:dyDescent="0.3">
      <c r="C26" s="111" t="s">
        <v>394</v>
      </c>
      <c r="D26" s="112" t="s">
        <v>395</v>
      </c>
      <c r="E26" s="134"/>
      <c r="F26" s="134"/>
      <c r="G26" s="156"/>
      <c r="H26" s="136">
        <f>IF(AND(D26&lt;&gt;"",F26&lt;&gt;""),IF(C26="",IF(F26="OH",VLOOKUP(D26,[1]UPAH!$B$3:$G$32,7,0),VLOOKUP(D26,[1]BAHAN!$A$2:$D$3,4,0)),0),0)</f>
        <v>0</v>
      </c>
      <c r="I26" s="137">
        <f>ROUNDDOWN(I24+I25,0)</f>
        <v>698740</v>
      </c>
    </row>
    <row r="27" spans="2:10" ht="15.95" customHeight="1" x14ac:dyDescent="0.25">
      <c r="C27" s="109"/>
      <c r="D27" s="109"/>
      <c r="G27" s="157"/>
    </row>
    <row r="28" spans="2:10" ht="15.95" customHeight="1" thickBot="1" x14ac:dyDescent="0.3">
      <c r="B28" s="104" t="s">
        <v>396</v>
      </c>
      <c r="C28" s="109" t="s">
        <v>397</v>
      </c>
      <c r="G28" s="157"/>
      <c r="J28" s="110">
        <f>I50</f>
        <v>795702</v>
      </c>
    </row>
    <row r="29" spans="2:10" ht="15.95" customHeight="1" thickBot="1" x14ac:dyDescent="0.3">
      <c r="C29" s="111" t="s">
        <v>328</v>
      </c>
      <c r="D29" s="112" t="s">
        <v>359</v>
      </c>
      <c r="E29" s="113" t="s">
        <v>360</v>
      </c>
      <c r="F29" s="113" t="s">
        <v>330</v>
      </c>
      <c r="G29" s="114" t="s">
        <v>361</v>
      </c>
      <c r="H29" s="112" t="s">
        <v>362</v>
      </c>
      <c r="I29" s="115" t="s">
        <v>363</v>
      </c>
    </row>
    <row r="30" spans="2:10" ht="15.95" customHeight="1" x14ac:dyDescent="0.25">
      <c r="C30" s="158" t="s">
        <v>364</v>
      </c>
      <c r="D30" s="159" t="s">
        <v>365</v>
      </c>
      <c r="E30" s="160"/>
      <c r="F30" s="160"/>
      <c r="G30" s="161"/>
      <c r="H30" s="144">
        <f>IF(AND(D30&lt;&gt;"",F30&lt;&gt;""),IF(C30="",IF(F30="OH",VLOOKUP(D30,[1]UPAH!$B$3:$G$32,7,0),VLOOKUP(D30,[1]BAHAN!$A$2:$D$3,4,0)),0),0)</f>
        <v>0</v>
      </c>
      <c r="I30" s="126">
        <f>G30*H30</f>
        <v>0</v>
      </c>
    </row>
    <row r="31" spans="2:10" ht="15.95" customHeight="1" x14ac:dyDescent="0.25">
      <c r="C31" s="122"/>
      <c r="D31" s="117" t="s">
        <v>366</v>
      </c>
      <c r="E31" s="123" t="s">
        <v>367</v>
      </c>
      <c r="F31" s="123" t="s">
        <v>368</v>
      </c>
      <c r="G31" s="124">
        <v>0.2</v>
      </c>
      <c r="H31" s="125">
        <f>VLOOKUP(D31,Upah,8,FALSE)</f>
        <v>125000</v>
      </c>
      <c r="I31" s="126">
        <f>G31*H31</f>
        <v>25000</v>
      </c>
    </row>
    <row r="32" spans="2:10" ht="15.95" customHeight="1" x14ac:dyDescent="0.25">
      <c r="C32" s="122"/>
      <c r="D32" s="117" t="s">
        <v>369</v>
      </c>
      <c r="E32" s="123" t="s">
        <v>370</v>
      </c>
      <c r="F32" s="123" t="s">
        <v>368</v>
      </c>
      <c r="G32" s="124">
        <v>0.4</v>
      </c>
      <c r="H32" s="125">
        <f>VLOOKUP(D32,Upah,8,FALSE)</f>
        <v>150000</v>
      </c>
      <c r="I32" s="126">
        <f>G32*H32</f>
        <v>60000</v>
      </c>
    </row>
    <row r="33" spans="3:9" ht="15.95" customHeight="1" x14ac:dyDescent="0.25">
      <c r="C33" s="122"/>
      <c r="D33" s="117" t="s">
        <v>371</v>
      </c>
      <c r="E33" s="123" t="s">
        <v>372</v>
      </c>
      <c r="F33" s="123" t="s">
        <v>368</v>
      </c>
      <c r="G33" s="124">
        <v>0.02</v>
      </c>
      <c r="H33" s="125">
        <f>VLOOKUP(D33,Upah,8,FALSE)</f>
        <v>165000</v>
      </c>
      <c r="I33" s="126">
        <f>G33*H33</f>
        <v>3300</v>
      </c>
    </row>
    <row r="34" spans="3:9" ht="15.95" customHeight="1" thickBot="1" x14ac:dyDescent="0.3">
      <c r="C34" s="127"/>
      <c r="D34" s="128" t="s">
        <v>373</v>
      </c>
      <c r="E34" s="129" t="s">
        <v>374</v>
      </c>
      <c r="F34" s="129" t="s">
        <v>368</v>
      </c>
      <c r="G34" s="130">
        <v>0.02</v>
      </c>
      <c r="H34" s="125">
        <f>VLOOKUP(D34,Upah,8,FALSE)</f>
        <v>170000</v>
      </c>
      <c r="I34" s="146">
        <f>G34*H34</f>
        <v>3400</v>
      </c>
    </row>
    <row r="35" spans="3:9" ht="15.95" customHeight="1" thickBot="1" x14ac:dyDescent="0.3">
      <c r="C35" s="132"/>
      <c r="D35" s="133"/>
      <c r="E35" s="134"/>
      <c r="F35" s="134"/>
      <c r="G35" s="135" t="s">
        <v>375</v>
      </c>
      <c r="H35" s="136"/>
      <c r="I35" s="137">
        <f>SUM(I30:I34)</f>
        <v>91700</v>
      </c>
    </row>
    <row r="36" spans="3:9" ht="15.95" customHeight="1" x14ac:dyDescent="0.25">
      <c r="C36" s="138" t="s">
        <v>376</v>
      </c>
      <c r="D36" s="139" t="s">
        <v>377</v>
      </c>
      <c r="E36" s="140"/>
      <c r="F36" s="140"/>
      <c r="G36" s="141"/>
      <c r="H36" s="142"/>
      <c r="I36" s="143"/>
    </row>
    <row r="37" spans="3:9" ht="15.95" customHeight="1" x14ac:dyDescent="0.25">
      <c r="C37" s="122"/>
      <c r="D37" s="117" t="s">
        <v>378</v>
      </c>
      <c r="E37" s="118"/>
      <c r="F37" s="123" t="s">
        <v>379</v>
      </c>
      <c r="G37" s="124">
        <v>1.25</v>
      </c>
      <c r="H37" s="144">
        <f t="shared" ref="H37:H44" si="2">VLOOKUP(D37,Bahan,6,FALSE)</f>
        <v>31250</v>
      </c>
      <c r="I37" s="126">
        <f t="shared" ref="I37:I44" si="3">G37*H37</f>
        <v>39062.5</v>
      </c>
    </row>
    <row r="38" spans="3:9" ht="15.95" customHeight="1" x14ac:dyDescent="0.25">
      <c r="C38" s="122"/>
      <c r="D38" s="117" t="s">
        <v>380</v>
      </c>
      <c r="E38" s="118"/>
      <c r="F38" s="123" t="s">
        <v>159</v>
      </c>
      <c r="G38" s="124">
        <v>2.5</v>
      </c>
      <c r="H38" s="144">
        <f t="shared" si="2"/>
        <v>1880</v>
      </c>
      <c r="I38" s="126">
        <f t="shared" si="3"/>
        <v>4700</v>
      </c>
    </row>
    <row r="39" spans="3:9" ht="15.95" customHeight="1" x14ac:dyDescent="0.25">
      <c r="C39" s="122"/>
      <c r="D39" s="117" t="s">
        <v>398</v>
      </c>
      <c r="E39" s="118"/>
      <c r="F39" s="123" t="s">
        <v>399</v>
      </c>
      <c r="G39" s="124">
        <v>1.2</v>
      </c>
      <c r="H39" s="144">
        <f t="shared" si="2"/>
        <v>63500</v>
      </c>
      <c r="I39" s="126">
        <f t="shared" si="3"/>
        <v>76200</v>
      </c>
    </row>
    <row r="40" spans="3:9" ht="15.95" customHeight="1" x14ac:dyDescent="0.25">
      <c r="C40" s="122"/>
      <c r="D40" s="117" t="s">
        <v>1919</v>
      </c>
      <c r="E40" s="118"/>
      <c r="F40" s="123" t="s">
        <v>158</v>
      </c>
      <c r="G40" s="124">
        <v>5.0000000000000001E-3</v>
      </c>
      <c r="H40" s="144">
        <f t="shared" si="2"/>
        <v>350000</v>
      </c>
      <c r="I40" s="126">
        <f t="shared" si="3"/>
        <v>1750</v>
      </c>
    </row>
    <row r="41" spans="3:9" ht="15.95" customHeight="1" x14ac:dyDescent="0.25">
      <c r="C41" s="122"/>
      <c r="D41" s="117" t="s">
        <v>381</v>
      </c>
      <c r="E41" s="118"/>
      <c r="F41" s="123" t="s">
        <v>158</v>
      </c>
      <c r="G41" s="124">
        <v>8.9999999999999993E-3</v>
      </c>
      <c r="H41" s="144">
        <f t="shared" si="2"/>
        <v>600000</v>
      </c>
      <c r="I41" s="126">
        <f t="shared" si="3"/>
        <v>5400</v>
      </c>
    </row>
    <row r="42" spans="3:9" ht="15.95" customHeight="1" x14ac:dyDescent="0.25">
      <c r="C42" s="122"/>
      <c r="D42" s="117" t="s">
        <v>382</v>
      </c>
      <c r="E42" s="118"/>
      <c r="F42" s="123" t="s">
        <v>158</v>
      </c>
      <c r="G42" s="124">
        <v>7.1999999999999995E-2</v>
      </c>
      <c r="H42" s="144">
        <f t="shared" si="2"/>
        <v>6765000</v>
      </c>
      <c r="I42" s="126">
        <f t="shared" si="3"/>
        <v>487079.99999999994</v>
      </c>
    </row>
    <row r="43" spans="3:9" ht="15.95" customHeight="1" x14ac:dyDescent="0.25">
      <c r="C43" s="122"/>
      <c r="D43" s="117" t="s">
        <v>383</v>
      </c>
      <c r="E43" s="118"/>
      <c r="F43" s="123" t="s">
        <v>159</v>
      </c>
      <c r="G43" s="124">
        <v>0.06</v>
      </c>
      <c r="H43" s="144">
        <f t="shared" si="2"/>
        <v>27970</v>
      </c>
      <c r="I43" s="126">
        <f t="shared" si="3"/>
        <v>1678.2</v>
      </c>
    </row>
    <row r="44" spans="3:9" ht="15.95" customHeight="1" thickBot="1" x14ac:dyDescent="0.3">
      <c r="C44" s="127"/>
      <c r="D44" s="128" t="s">
        <v>400</v>
      </c>
      <c r="E44" s="145"/>
      <c r="F44" s="129" t="s">
        <v>385</v>
      </c>
      <c r="G44" s="130">
        <v>0.45</v>
      </c>
      <c r="H44" s="144">
        <f t="shared" si="2"/>
        <v>35100</v>
      </c>
      <c r="I44" s="146">
        <f t="shared" si="3"/>
        <v>15795</v>
      </c>
    </row>
    <row r="45" spans="3:9" ht="15.95" customHeight="1" thickBot="1" x14ac:dyDescent="0.3">
      <c r="C45" s="132"/>
      <c r="D45" s="133"/>
      <c r="E45" s="134"/>
      <c r="F45" s="134"/>
      <c r="G45" s="135" t="s">
        <v>386</v>
      </c>
      <c r="H45" s="136"/>
      <c r="I45" s="137">
        <f>SUM(I37:I44)</f>
        <v>631665.69999999995</v>
      </c>
    </row>
    <row r="46" spans="3:9" ht="15.95" customHeight="1" thickBot="1" x14ac:dyDescent="0.3">
      <c r="C46" s="147" t="s">
        <v>387</v>
      </c>
      <c r="D46" s="148" t="s">
        <v>388</v>
      </c>
      <c r="E46" s="149"/>
      <c r="F46" s="149"/>
      <c r="G46" s="150"/>
      <c r="H46" s="151">
        <f>IF(AND(D46&lt;&gt;"",F46&lt;&gt;""),IF(C46="",IF(F46="OH",VLOOKUP(D46,[1]UPAH!$B$3:$G$32,7,0),VLOOKUP(D46,[1]BAHAN!$A$2:$D$3,4,0)),0),0)</f>
        <v>0</v>
      </c>
      <c r="I46" s="152"/>
    </row>
    <row r="47" spans="3:9" ht="15.95" customHeight="1" thickBot="1" x14ac:dyDescent="0.3">
      <c r="C47" s="132"/>
      <c r="D47" s="133"/>
      <c r="E47" s="134"/>
      <c r="F47" s="134"/>
      <c r="G47" s="135" t="s">
        <v>389</v>
      </c>
      <c r="H47" s="136"/>
      <c r="I47" s="137">
        <f>I46</f>
        <v>0</v>
      </c>
    </row>
    <row r="48" spans="3:9" x14ac:dyDescent="0.25">
      <c r="C48" s="147" t="s">
        <v>390</v>
      </c>
      <c r="D48" s="148" t="s">
        <v>391</v>
      </c>
      <c r="E48" s="149"/>
      <c r="F48" s="149"/>
      <c r="G48" s="150"/>
      <c r="H48" s="151"/>
      <c r="I48" s="152">
        <f>SUM(I31:I47)/2</f>
        <v>723365.7</v>
      </c>
    </row>
    <row r="49" spans="2:10" ht="13.5" thickBot="1" x14ac:dyDescent="0.3">
      <c r="C49" s="153" t="s">
        <v>392</v>
      </c>
      <c r="D49" s="128" t="s">
        <v>393</v>
      </c>
      <c r="E49" s="145"/>
      <c r="F49" s="145"/>
      <c r="G49" s="154">
        <v>0.1</v>
      </c>
      <c r="H49" s="155"/>
      <c r="I49" s="146">
        <f>G49*I48</f>
        <v>72336.569999999992</v>
      </c>
    </row>
    <row r="50" spans="2:10" ht="13.5" thickBot="1" x14ac:dyDescent="0.3">
      <c r="C50" s="111" t="s">
        <v>394</v>
      </c>
      <c r="D50" s="112" t="s">
        <v>395</v>
      </c>
      <c r="E50" s="134"/>
      <c r="F50" s="134"/>
      <c r="G50" s="156"/>
      <c r="H50" s="136">
        <f>IF(AND(D50&lt;&gt;"",F50&lt;&gt;""),IF(C50="",IF(F50="OH",VLOOKUP(D50,[1]UPAH!$B$3:$G$32,7,0),VLOOKUP(D50,[1]BAHAN!$A$2:$D$3,4,0)),0),0)</f>
        <v>0</v>
      </c>
      <c r="I50" s="137">
        <f>ROUNDDOWN(I48+I49,0)</f>
        <v>795702</v>
      </c>
    </row>
    <row r="51" spans="2:10" x14ac:dyDescent="0.25">
      <c r="C51" s="109"/>
      <c r="D51" s="109"/>
      <c r="G51" s="157"/>
    </row>
    <row r="52" spans="2:10" ht="13.5" thickBot="1" x14ac:dyDescent="0.3">
      <c r="B52" s="104" t="s">
        <v>401</v>
      </c>
      <c r="C52" s="109" t="s">
        <v>402</v>
      </c>
      <c r="G52" s="157"/>
      <c r="J52" s="110">
        <f>I72</f>
        <v>814561</v>
      </c>
    </row>
    <row r="53" spans="2:10" ht="13.5" thickBot="1" x14ac:dyDescent="0.3">
      <c r="C53" s="111" t="s">
        <v>328</v>
      </c>
      <c r="D53" s="112" t="s">
        <v>359</v>
      </c>
      <c r="E53" s="113" t="s">
        <v>360</v>
      </c>
      <c r="F53" s="113" t="s">
        <v>330</v>
      </c>
      <c r="G53" s="114" t="s">
        <v>361</v>
      </c>
      <c r="H53" s="112" t="s">
        <v>362</v>
      </c>
      <c r="I53" s="115" t="s">
        <v>363</v>
      </c>
    </row>
    <row r="54" spans="2:10" x14ac:dyDescent="0.25">
      <c r="C54" s="158" t="s">
        <v>364</v>
      </c>
      <c r="D54" s="159" t="s">
        <v>365</v>
      </c>
      <c r="E54" s="160"/>
      <c r="F54" s="160"/>
      <c r="G54" s="161"/>
      <c r="H54" s="144">
        <f>IF(AND(D54&lt;&gt;"",F54&lt;&gt;""),IF(C54="",IF(F54="OH",VLOOKUP(D54,[1]UPAH!$B$3:$G$32,7,0),VLOOKUP(D54,[1]BAHAN!$A$2:$D$3,4,0)),0),0)</f>
        <v>0</v>
      </c>
      <c r="I54" s="126">
        <f>G54*H54</f>
        <v>0</v>
      </c>
    </row>
    <row r="55" spans="2:10" x14ac:dyDescent="0.25">
      <c r="C55" s="122"/>
      <c r="D55" s="117" t="s">
        <v>366</v>
      </c>
      <c r="E55" s="123" t="s">
        <v>367</v>
      </c>
      <c r="F55" s="123" t="s">
        <v>368</v>
      </c>
      <c r="G55" s="124">
        <v>0.2</v>
      </c>
      <c r="H55" s="125">
        <f>VLOOKUP(D55,Upah,8,FALSE)</f>
        <v>125000</v>
      </c>
      <c r="I55" s="126">
        <f>G55*H55</f>
        <v>25000</v>
      </c>
    </row>
    <row r="56" spans="2:10" x14ac:dyDescent="0.25">
      <c r="C56" s="122"/>
      <c r="D56" s="117" t="s">
        <v>369</v>
      </c>
      <c r="E56" s="123" t="s">
        <v>370</v>
      </c>
      <c r="F56" s="123" t="s">
        <v>368</v>
      </c>
      <c r="G56" s="124">
        <v>0.3</v>
      </c>
      <c r="H56" s="125">
        <f>VLOOKUP(D56,Upah,8,FALSE)</f>
        <v>150000</v>
      </c>
      <c r="I56" s="126">
        <f>G56*H56</f>
        <v>45000</v>
      </c>
    </row>
    <row r="57" spans="2:10" x14ac:dyDescent="0.25">
      <c r="C57" s="122"/>
      <c r="D57" s="117" t="s">
        <v>371</v>
      </c>
      <c r="E57" s="123" t="s">
        <v>372</v>
      </c>
      <c r="F57" s="123" t="s">
        <v>368</v>
      </c>
      <c r="G57" s="124">
        <v>0.02</v>
      </c>
      <c r="H57" s="125">
        <f>VLOOKUP(D57,Upah,8,FALSE)</f>
        <v>165000</v>
      </c>
      <c r="I57" s="126">
        <f>G57*H57</f>
        <v>3300</v>
      </c>
    </row>
    <row r="58" spans="2:10" ht="13.5" thickBot="1" x14ac:dyDescent="0.3">
      <c r="C58" s="127"/>
      <c r="D58" s="128" t="s">
        <v>373</v>
      </c>
      <c r="E58" s="129" t="s">
        <v>374</v>
      </c>
      <c r="F58" s="129" t="s">
        <v>368</v>
      </c>
      <c r="G58" s="130">
        <v>0.02</v>
      </c>
      <c r="H58" s="125">
        <f>VLOOKUP(D58,Upah,8,FALSE)</f>
        <v>170000</v>
      </c>
      <c r="I58" s="126">
        <f>G58*H58</f>
        <v>3400</v>
      </c>
    </row>
    <row r="59" spans="2:10" ht="13.5" thickBot="1" x14ac:dyDescent="0.3">
      <c r="C59" s="132"/>
      <c r="D59" s="133"/>
      <c r="E59" s="134"/>
      <c r="F59" s="134"/>
      <c r="G59" s="135" t="s">
        <v>375</v>
      </c>
      <c r="H59" s="136"/>
      <c r="I59" s="137">
        <f>SUM(I54:I58)</f>
        <v>76700</v>
      </c>
    </row>
    <row r="60" spans="2:10" x14ac:dyDescent="0.25">
      <c r="C60" s="138" t="s">
        <v>376</v>
      </c>
      <c r="D60" s="139" t="s">
        <v>377</v>
      </c>
      <c r="E60" s="140"/>
      <c r="F60" s="140"/>
      <c r="G60" s="141"/>
      <c r="H60" s="144">
        <f>IF(AND(D60&lt;&gt;"",F60&lt;&gt;""),IF(C60="",IF(F60="OH",VLOOKUP(D60,[1]UPAH!$B$3:$G$32,7,0),VLOOKUP(D60,[1]BAHAN!$A$2:$D$3,4,0)),0),0)</f>
        <v>0</v>
      </c>
      <c r="I60" s="126">
        <f t="shared" ref="I60:I66" si="4">G60*H60</f>
        <v>0</v>
      </c>
    </row>
    <row r="61" spans="2:10" x14ac:dyDescent="0.25">
      <c r="C61" s="122"/>
      <c r="D61" s="117" t="s">
        <v>378</v>
      </c>
      <c r="E61" s="118"/>
      <c r="F61" s="123" t="s">
        <v>379</v>
      </c>
      <c r="G61" s="124">
        <v>1</v>
      </c>
      <c r="H61" s="144">
        <f t="shared" ref="H61:H66" si="5">VLOOKUP(D61,Bahan,6,FALSE)</f>
        <v>31250</v>
      </c>
      <c r="I61" s="126">
        <f t="shared" si="4"/>
        <v>31250</v>
      </c>
    </row>
    <row r="62" spans="2:10" x14ac:dyDescent="0.25">
      <c r="C62" s="122"/>
      <c r="D62" s="117" t="s">
        <v>380</v>
      </c>
      <c r="E62" s="118"/>
      <c r="F62" s="123" t="s">
        <v>159</v>
      </c>
      <c r="G62" s="124">
        <v>2</v>
      </c>
      <c r="H62" s="144">
        <f t="shared" si="5"/>
        <v>1880</v>
      </c>
      <c r="I62" s="126">
        <f t="shared" si="4"/>
        <v>3760</v>
      </c>
    </row>
    <row r="63" spans="2:10" x14ac:dyDescent="0.25">
      <c r="C63" s="122"/>
      <c r="D63" s="117" t="s">
        <v>403</v>
      </c>
      <c r="E63" s="118"/>
      <c r="F63" s="123" t="s">
        <v>404</v>
      </c>
      <c r="G63" s="124">
        <v>25</v>
      </c>
      <c r="H63" s="144">
        <f t="shared" si="5"/>
        <v>24800</v>
      </c>
      <c r="I63" s="126">
        <f t="shared" si="4"/>
        <v>620000</v>
      </c>
    </row>
    <row r="64" spans="2:10" x14ac:dyDescent="0.25">
      <c r="C64" s="122"/>
      <c r="D64" s="117" t="s">
        <v>1919</v>
      </c>
      <c r="E64" s="118"/>
      <c r="F64" s="123" t="s">
        <v>158</v>
      </c>
      <c r="G64" s="124">
        <v>5.0000000000000001E-3</v>
      </c>
      <c r="H64" s="144">
        <f t="shared" si="5"/>
        <v>350000</v>
      </c>
      <c r="I64" s="126">
        <f t="shared" si="4"/>
        <v>1750</v>
      </c>
    </row>
    <row r="65" spans="2:10" x14ac:dyDescent="0.25">
      <c r="C65" s="122"/>
      <c r="D65" s="117" t="s">
        <v>381</v>
      </c>
      <c r="E65" s="118"/>
      <c r="F65" s="123" t="s">
        <v>158</v>
      </c>
      <c r="G65" s="124">
        <v>8.9999999999999993E-3</v>
      </c>
      <c r="H65" s="144">
        <f t="shared" si="5"/>
        <v>600000</v>
      </c>
      <c r="I65" s="126">
        <f t="shared" si="4"/>
        <v>5400</v>
      </c>
    </row>
    <row r="66" spans="2:10" ht="13.5" thickBot="1" x14ac:dyDescent="0.3">
      <c r="C66" s="127"/>
      <c r="D66" s="117" t="s">
        <v>405</v>
      </c>
      <c r="E66" s="145"/>
      <c r="F66" s="129" t="s">
        <v>159</v>
      </c>
      <c r="G66" s="130">
        <v>0.06</v>
      </c>
      <c r="H66" s="144">
        <f t="shared" si="5"/>
        <v>27500</v>
      </c>
      <c r="I66" s="126">
        <f t="shared" si="4"/>
        <v>1650</v>
      </c>
    </row>
    <row r="67" spans="2:10" ht="13.5" thickBot="1" x14ac:dyDescent="0.3">
      <c r="C67" s="132"/>
      <c r="D67" s="133"/>
      <c r="E67" s="134"/>
      <c r="F67" s="134"/>
      <c r="G67" s="135" t="s">
        <v>386</v>
      </c>
      <c r="H67" s="136"/>
      <c r="I67" s="137">
        <f>SUM(I61:I66)</f>
        <v>663810</v>
      </c>
    </row>
    <row r="68" spans="2:10" ht="13.5" thickBot="1" x14ac:dyDescent="0.3">
      <c r="C68" s="138" t="s">
        <v>387</v>
      </c>
      <c r="D68" s="139" t="s">
        <v>388</v>
      </c>
      <c r="E68" s="140"/>
      <c r="F68" s="140"/>
      <c r="G68" s="141"/>
      <c r="H68" s="144">
        <f>IF(AND(D68&lt;&gt;"",F68&lt;&gt;""),IF(C68="",IF(F68="OH",VLOOKUP(D68,[1]UPAH!$B$3:$G$32,7,0),VLOOKUP(D68,[1]BAHAN!$A$2:$D$3,4,0)),0),0)</f>
        <v>0</v>
      </c>
      <c r="I68" s="126">
        <f>G68*H68</f>
        <v>0</v>
      </c>
    </row>
    <row r="69" spans="2:10" ht="13.5" thickBot="1" x14ac:dyDescent="0.3">
      <c r="C69" s="132"/>
      <c r="D69" s="133"/>
      <c r="E69" s="134"/>
      <c r="F69" s="134"/>
      <c r="G69" s="135" t="s">
        <v>389</v>
      </c>
      <c r="H69" s="136"/>
      <c r="I69" s="137">
        <f>I68</f>
        <v>0</v>
      </c>
    </row>
    <row r="70" spans="2:10" x14ac:dyDescent="0.25">
      <c r="C70" s="158" t="s">
        <v>390</v>
      </c>
      <c r="D70" s="159" t="s">
        <v>391</v>
      </c>
      <c r="E70" s="160"/>
      <c r="F70" s="160"/>
      <c r="G70" s="161"/>
      <c r="H70" s="162">
        <f>IF(AND(D70&lt;&gt;"",F70&lt;&gt;""),IF(C70="",IF(F70="OH",VLOOKUP(D70,[1]UPAH!$B$3:$G$32,7,0),VLOOKUP(D70,[1]BAHAN!$A$2:$D$3,4,0)),0),0)</f>
        <v>0</v>
      </c>
      <c r="I70" s="163">
        <f>SUM(I55:I69)/2</f>
        <v>740510</v>
      </c>
    </row>
    <row r="71" spans="2:10" ht="13.5" thickBot="1" x14ac:dyDescent="0.3">
      <c r="C71" s="147" t="s">
        <v>392</v>
      </c>
      <c r="D71" s="148" t="s">
        <v>393</v>
      </c>
      <c r="E71" s="149"/>
      <c r="F71" s="149"/>
      <c r="G71" s="164">
        <v>0.1</v>
      </c>
      <c r="H71" s="151"/>
      <c r="I71" s="146">
        <f>G71*I70</f>
        <v>74051</v>
      </c>
    </row>
    <row r="72" spans="2:10" ht="13.5" thickBot="1" x14ac:dyDescent="0.3">
      <c r="C72" s="111" t="s">
        <v>394</v>
      </c>
      <c r="D72" s="112" t="s">
        <v>395</v>
      </c>
      <c r="E72" s="134"/>
      <c r="F72" s="134"/>
      <c r="G72" s="156"/>
      <c r="H72" s="136">
        <f>IF(AND(D72&lt;&gt;"",F72&lt;&gt;""),IF(C72="",IF(F72="OH",VLOOKUP(D72,[1]UPAH!$B$3:$G$32,7,0),VLOOKUP(D72,[1]BAHAN!$A$2:$D$3,4,0)),0),0)</f>
        <v>0</v>
      </c>
      <c r="I72" s="137">
        <f>ROUNDDOWN(I70+I71,0)</f>
        <v>814561</v>
      </c>
    </row>
    <row r="73" spans="2:10" ht="15.95" customHeight="1" x14ac:dyDescent="0.25">
      <c r="C73" s="109"/>
      <c r="D73" s="109"/>
      <c r="G73" s="157"/>
    </row>
    <row r="74" spans="2:10" ht="15.95" customHeight="1" thickBot="1" x14ac:dyDescent="0.3">
      <c r="B74" s="171" t="s">
        <v>406</v>
      </c>
      <c r="C74" s="109" t="s">
        <v>407</v>
      </c>
      <c r="G74" s="157"/>
      <c r="J74" s="110">
        <f>I91</f>
        <v>92990</v>
      </c>
    </row>
    <row r="75" spans="2:10" ht="15.95" customHeight="1" thickBot="1" x14ac:dyDescent="0.3">
      <c r="C75" s="111" t="s">
        <v>328</v>
      </c>
      <c r="D75" s="112" t="s">
        <v>359</v>
      </c>
      <c r="E75" s="113" t="s">
        <v>360</v>
      </c>
      <c r="F75" s="113" t="s">
        <v>330</v>
      </c>
      <c r="G75" s="114" t="s">
        <v>361</v>
      </c>
      <c r="H75" s="112" t="s">
        <v>362</v>
      </c>
      <c r="I75" s="115" t="s">
        <v>363</v>
      </c>
    </row>
    <row r="76" spans="2:10" ht="15.95" customHeight="1" x14ac:dyDescent="0.25">
      <c r="C76" s="116" t="s">
        <v>364</v>
      </c>
      <c r="D76" s="117" t="s">
        <v>365</v>
      </c>
      <c r="E76" s="118"/>
      <c r="F76" s="118"/>
      <c r="G76" s="165"/>
      <c r="H76" s="144"/>
      <c r="I76" s="126"/>
    </row>
    <row r="77" spans="2:10" ht="15.95" customHeight="1" x14ac:dyDescent="0.25">
      <c r="C77" s="122"/>
      <c r="D77" s="117" t="s">
        <v>366</v>
      </c>
      <c r="E77" s="123" t="s">
        <v>367</v>
      </c>
      <c r="F77" s="123" t="s">
        <v>368</v>
      </c>
      <c r="G77" s="124">
        <v>0.1</v>
      </c>
      <c r="H77" s="125">
        <f>VLOOKUP(D77,Upah,8,FALSE)</f>
        <v>125000</v>
      </c>
      <c r="I77" s="126">
        <f>G77*H77</f>
        <v>12500</v>
      </c>
    </row>
    <row r="78" spans="2:10" ht="15.95" customHeight="1" x14ac:dyDescent="0.25">
      <c r="C78" s="122"/>
      <c r="D78" s="117" t="s">
        <v>369</v>
      </c>
      <c r="E78" s="123" t="s">
        <v>370</v>
      </c>
      <c r="F78" s="123" t="s">
        <v>368</v>
      </c>
      <c r="G78" s="124">
        <v>0.1</v>
      </c>
      <c r="H78" s="125">
        <f>VLOOKUP(D78,Upah,8,FALSE)</f>
        <v>150000</v>
      </c>
      <c r="I78" s="126">
        <f>G78*H78</f>
        <v>15000</v>
      </c>
    </row>
    <row r="79" spans="2:10" ht="15.95" customHeight="1" x14ac:dyDescent="0.25">
      <c r="C79" s="122"/>
      <c r="D79" s="117" t="s">
        <v>371</v>
      </c>
      <c r="E79" s="123" t="s">
        <v>372</v>
      </c>
      <c r="F79" s="123" t="s">
        <v>368</v>
      </c>
      <c r="G79" s="124">
        <v>0.01</v>
      </c>
      <c r="H79" s="125">
        <f>VLOOKUP(D79,Upah,8,FALSE)</f>
        <v>165000</v>
      </c>
      <c r="I79" s="126">
        <f>G79*H79</f>
        <v>1650</v>
      </c>
    </row>
    <row r="80" spans="2:10" ht="15.95" customHeight="1" thickBot="1" x14ac:dyDescent="0.3">
      <c r="C80" s="127"/>
      <c r="D80" s="128" t="s">
        <v>373</v>
      </c>
      <c r="E80" s="129" t="s">
        <v>374</v>
      </c>
      <c r="F80" s="129" t="s">
        <v>368</v>
      </c>
      <c r="G80" s="130">
        <v>5.0000000000000001E-3</v>
      </c>
      <c r="H80" s="125">
        <f>VLOOKUP(D80,Upah,8,FALSE)</f>
        <v>170000</v>
      </c>
      <c r="I80" s="126">
        <f>G80*H80</f>
        <v>850</v>
      </c>
    </row>
    <row r="81" spans="2:10" ht="15.95" customHeight="1" thickBot="1" x14ac:dyDescent="0.3">
      <c r="C81" s="132"/>
      <c r="D81" s="133"/>
      <c r="E81" s="134"/>
      <c r="F81" s="134"/>
      <c r="G81" s="135" t="s">
        <v>375</v>
      </c>
      <c r="H81" s="136"/>
      <c r="I81" s="137">
        <f>SUM(I76:I80)</f>
        <v>30000</v>
      </c>
    </row>
    <row r="82" spans="2:10" ht="15.95" customHeight="1" x14ac:dyDescent="0.25">
      <c r="C82" s="138" t="s">
        <v>376</v>
      </c>
      <c r="D82" s="139" t="s">
        <v>377</v>
      </c>
      <c r="E82" s="140"/>
      <c r="F82" s="140"/>
      <c r="G82" s="141"/>
      <c r="H82" s="144"/>
      <c r="I82" s="126"/>
    </row>
    <row r="83" spans="2:10" ht="15.95" customHeight="1" x14ac:dyDescent="0.25">
      <c r="C83" s="122"/>
      <c r="D83" s="117" t="s">
        <v>437</v>
      </c>
      <c r="E83" s="118"/>
      <c r="F83" s="123" t="s">
        <v>158</v>
      </c>
      <c r="G83" s="124">
        <v>1.2E-2</v>
      </c>
      <c r="H83" s="144">
        <f>VLOOKUP(D83,Bahan,6,FALSE)</f>
        <v>2646000</v>
      </c>
      <c r="I83" s="126">
        <f>G83*H83</f>
        <v>31752</v>
      </c>
    </row>
    <row r="84" spans="2:10" ht="15.95" customHeight="1" x14ac:dyDescent="0.25">
      <c r="C84" s="122"/>
      <c r="D84" s="117" t="s">
        <v>409</v>
      </c>
      <c r="E84" s="118"/>
      <c r="F84" s="123" t="s">
        <v>159</v>
      </c>
      <c r="G84" s="124">
        <v>0.02</v>
      </c>
      <c r="H84" s="144">
        <f>VLOOKUP(D84,Bahan,6,FALSE)</f>
        <v>27970</v>
      </c>
      <c r="I84" s="126">
        <f>G84*H84</f>
        <v>559.4</v>
      </c>
    </row>
    <row r="85" spans="2:10" ht="15.95" customHeight="1" thickBot="1" x14ac:dyDescent="0.3">
      <c r="C85" s="127"/>
      <c r="D85" s="128" t="s">
        <v>436</v>
      </c>
      <c r="E85" s="145"/>
      <c r="F85" s="129" t="s">
        <v>158</v>
      </c>
      <c r="G85" s="130">
        <v>7.0000000000000001E-3</v>
      </c>
      <c r="H85" s="144">
        <f>VLOOKUP(D85,Bahan,6,FALSE)</f>
        <v>3175000</v>
      </c>
      <c r="I85" s="126">
        <f>G85*H85</f>
        <v>22225</v>
      </c>
    </row>
    <row r="86" spans="2:10" ht="15.95" customHeight="1" thickBot="1" x14ac:dyDescent="0.3">
      <c r="C86" s="132"/>
      <c r="D86" s="133"/>
      <c r="E86" s="134"/>
      <c r="F86" s="134"/>
      <c r="G86" s="135" t="s">
        <v>386</v>
      </c>
      <c r="H86" s="136"/>
      <c r="I86" s="137">
        <f>SUM(I83:I85)</f>
        <v>54536.4</v>
      </c>
    </row>
    <row r="87" spans="2:10" ht="15.95" customHeight="1" thickBot="1" x14ac:dyDescent="0.3">
      <c r="C87" s="147" t="s">
        <v>387</v>
      </c>
      <c r="D87" s="148" t="s">
        <v>388</v>
      </c>
      <c r="E87" s="149"/>
      <c r="F87" s="149"/>
      <c r="G87" s="150"/>
      <c r="H87" s="144">
        <f>IF(AND(D87&lt;&gt;"",F87&lt;&gt;""),IF(C87="",IF(F87="OH",VLOOKUP(D87,[1]UPAH!$B$3:$G$32,7,0),VLOOKUP(D87,[1]BAHAN!$A$2:$D$3,4,0)),0),0)</f>
        <v>0</v>
      </c>
      <c r="I87" s="126">
        <f>G87*H87</f>
        <v>0</v>
      </c>
    </row>
    <row r="88" spans="2:10" ht="15.95" customHeight="1" thickBot="1" x14ac:dyDescent="0.3">
      <c r="C88" s="132"/>
      <c r="D88" s="133"/>
      <c r="E88" s="134"/>
      <c r="F88" s="134"/>
      <c r="G88" s="135" t="s">
        <v>389</v>
      </c>
      <c r="H88" s="136"/>
      <c r="I88" s="137">
        <f>I87</f>
        <v>0</v>
      </c>
    </row>
    <row r="89" spans="2:10" ht="15.95" customHeight="1" x14ac:dyDescent="0.25">
      <c r="C89" s="138" t="s">
        <v>390</v>
      </c>
      <c r="D89" s="139" t="s">
        <v>391</v>
      </c>
      <c r="E89" s="140"/>
      <c r="F89" s="140"/>
      <c r="G89" s="141"/>
      <c r="H89" s="144">
        <f>IF(AND(D89&lt;&gt;"",F89&lt;&gt;""),IF(C89="",IF(F89="OH",VLOOKUP(D89,[1]UPAH!$B$3:$G$32,7,0),VLOOKUP(D89,[1]BAHAN!$A$2:$D$3,4,0)),0),0)</f>
        <v>0</v>
      </c>
      <c r="I89" s="163">
        <f>SUM(I77:I88)/2</f>
        <v>84536.4</v>
      </c>
    </row>
    <row r="90" spans="2:10" ht="15.95" customHeight="1" thickBot="1" x14ac:dyDescent="0.3">
      <c r="C90" s="153" t="s">
        <v>392</v>
      </c>
      <c r="D90" s="128" t="s">
        <v>393</v>
      </c>
      <c r="E90" s="145"/>
      <c r="F90" s="145"/>
      <c r="G90" s="154">
        <v>0.1</v>
      </c>
      <c r="H90" s="155"/>
      <c r="I90" s="146">
        <f>G90*I89</f>
        <v>8453.64</v>
      </c>
    </row>
    <row r="91" spans="2:10" ht="15.95" customHeight="1" thickBot="1" x14ac:dyDescent="0.3">
      <c r="C91" s="111" t="s">
        <v>394</v>
      </c>
      <c r="D91" s="112" t="s">
        <v>395</v>
      </c>
      <c r="E91" s="134"/>
      <c r="F91" s="134"/>
      <c r="G91" s="156"/>
      <c r="H91" s="136">
        <f>IF(AND(D91&lt;&gt;"",F91&lt;&gt;""),IF(C91="",IF(F91="OH",VLOOKUP(D91,[1]UPAH!$B$3:$G$32,7,0),VLOOKUP(D91,[1]BAHAN!$A$2:$D$3,4,0)),0),0)</f>
        <v>0</v>
      </c>
      <c r="I91" s="137">
        <f>ROUNDDOWN(I89+I90,0)</f>
        <v>92990</v>
      </c>
    </row>
    <row r="92" spans="2:10" ht="15.95" customHeight="1" x14ac:dyDescent="0.25">
      <c r="C92" s="109"/>
      <c r="D92" s="109"/>
      <c r="G92" s="157"/>
    </row>
    <row r="93" spans="2:10" ht="15.95" hidden="1" customHeight="1" thickBot="1" x14ac:dyDescent="0.3">
      <c r="B93" s="104" t="s">
        <v>411</v>
      </c>
      <c r="C93" s="109" t="s">
        <v>412</v>
      </c>
      <c r="G93" s="157"/>
      <c r="J93" s="110">
        <f>I122</f>
        <v>2574354</v>
      </c>
    </row>
    <row r="94" spans="2:10" ht="15.95" hidden="1" customHeight="1" thickBot="1" x14ac:dyDescent="0.3">
      <c r="C94" s="111" t="s">
        <v>328</v>
      </c>
      <c r="D94" s="112" t="s">
        <v>359</v>
      </c>
      <c r="E94" s="113" t="s">
        <v>360</v>
      </c>
      <c r="F94" s="113" t="s">
        <v>330</v>
      </c>
      <c r="G94" s="114" t="s">
        <v>361</v>
      </c>
      <c r="H94" s="112" t="s">
        <v>362</v>
      </c>
      <c r="I94" s="115" t="s">
        <v>363</v>
      </c>
    </row>
    <row r="95" spans="2:10" ht="15.95" hidden="1" customHeight="1" x14ac:dyDescent="0.25">
      <c r="C95" s="116" t="s">
        <v>364</v>
      </c>
      <c r="D95" s="117" t="s">
        <v>365</v>
      </c>
      <c r="E95" s="118"/>
      <c r="F95" s="118"/>
      <c r="G95" s="165"/>
      <c r="H95" s="144"/>
      <c r="I95" s="126"/>
    </row>
    <row r="96" spans="2:10" ht="15.95" hidden="1" customHeight="1" x14ac:dyDescent="0.25">
      <c r="C96" s="122"/>
      <c r="D96" s="117" t="s">
        <v>366</v>
      </c>
      <c r="E96" s="123" t="s">
        <v>367</v>
      </c>
      <c r="F96" s="123" t="s">
        <v>368</v>
      </c>
      <c r="G96" s="124">
        <v>2</v>
      </c>
      <c r="H96" s="125">
        <f>VLOOKUP(D96,Upah,8,FALSE)</f>
        <v>125000</v>
      </c>
      <c r="I96" s="126">
        <f>G96*H96</f>
        <v>250000</v>
      </c>
    </row>
    <row r="97" spans="3:9" ht="15.95" hidden="1" customHeight="1" x14ac:dyDescent="0.25">
      <c r="C97" s="122"/>
      <c r="D97" s="117" t="s">
        <v>369</v>
      </c>
      <c r="E97" s="123" t="s">
        <v>370</v>
      </c>
      <c r="F97" s="123" t="s">
        <v>368</v>
      </c>
      <c r="G97" s="124">
        <v>2</v>
      </c>
      <c r="H97" s="125">
        <f>VLOOKUP(D97,Upah,8,FALSE)</f>
        <v>150000</v>
      </c>
      <c r="I97" s="126">
        <f>G97*H97</f>
        <v>300000</v>
      </c>
    </row>
    <row r="98" spans="3:9" ht="15.95" hidden="1" customHeight="1" x14ac:dyDescent="0.25">
      <c r="C98" s="122"/>
      <c r="D98" s="117" t="s">
        <v>413</v>
      </c>
      <c r="E98" s="123" t="s">
        <v>414</v>
      </c>
      <c r="F98" s="123" t="s">
        <v>368</v>
      </c>
      <c r="G98" s="124">
        <v>1</v>
      </c>
      <c r="H98" s="125">
        <f>VLOOKUP(D98,Upah,8,FALSE)</f>
        <v>150000</v>
      </c>
      <c r="I98" s="126">
        <f>G98*H98</f>
        <v>150000</v>
      </c>
    </row>
    <row r="99" spans="3:9" ht="15.95" hidden="1" customHeight="1" x14ac:dyDescent="0.25">
      <c r="C99" s="122"/>
      <c r="D99" s="117" t="s">
        <v>371</v>
      </c>
      <c r="E99" s="123" t="s">
        <v>372</v>
      </c>
      <c r="F99" s="123" t="s">
        <v>368</v>
      </c>
      <c r="G99" s="124">
        <v>0.3</v>
      </c>
      <c r="H99" s="125">
        <f>VLOOKUP(D99,Upah,8,FALSE)</f>
        <v>165000</v>
      </c>
      <c r="I99" s="126">
        <f>G99*H99</f>
        <v>49500</v>
      </c>
    </row>
    <row r="100" spans="3:9" ht="15.95" hidden="1" customHeight="1" thickBot="1" x14ac:dyDescent="0.3">
      <c r="C100" s="127"/>
      <c r="D100" s="128" t="s">
        <v>373</v>
      </c>
      <c r="E100" s="129" t="s">
        <v>374</v>
      </c>
      <c r="F100" s="129" t="s">
        <v>368</v>
      </c>
      <c r="G100" s="130">
        <v>0.05</v>
      </c>
      <c r="H100" s="125">
        <f>VLOOKUP(D100,Upah,8,FALSE)</f>
        <v>170000</v>
      </c>
      <c r="I100" s="126">
        <f>G100*H100</f>
        <v>8500</v>
      </c>
    </row>
    <row r="101" spans="3:9" ht="15.95" hidden="1" customHeight="1" thickBot="1" x14ac:dyDescent="0.3">
      <c r="C101" s="132"/>
      <c r="D101" s="133"/>
      <c r="E101" s="134"/>
      <c r="F101" s="134"/>
      <c r="G101" s="135" t="s">
        <v>375</v>
      </c>
      <c r="H101" s="136"/>
      <c r="I101" s="137">
        <f>SUM(I96:I100)</f>
        <v>758000</v>
      </c>
    </row>
    <row r="102" spans="3:9" ht="15.95" hidden="1" customHeight="1" x14ac:dyDescent="0.25">
      <c r="C102" s="138" t="s">
        <v>376</v>
      </c>
      <c r="D102" s="139" t="s">
        <v>377</v>
      </c>
      <c r="E102" s="140"/>
      <c r="F102" s="140"/>
      <c r="G102" s="141"/>
      <c r="H102" s="144">
        <f>IF(AND(D102&lt;&gt;"",F102&lt;&gt;""),IF(C102="",IF(F102="OH",VLOOKUP(D102,[1]UPAH!$B$3:$G$32,7,0),VLOOKUP(D102,[1]BAHAN!$A$2:$D$3,4,0)),0),0)</f>
        <v>0</v>
      </c>
      <c r="I102" s="126">
        <f t="shared" ref="I102:I116" si="6">G102*H102</f>
        <v>0</v>
      </c>
    </row>
    <row r="103" spans="3:9" ht="15.95" hidden="1" customHeight="1" x14ac:dyDescent="0.25">
      <c r="C103" s="122"/>
      <c r="D103" s="117" t="s">
        <v>378</v>
      </c>
      <c r="E103" s="118"/>
      <c r="F103" s="123" t="s">
        <v>379</v>
      </c>
      <c r="G103" s="124">
        <v>1.25</v>
      </c>
      <c r="H103" s="144">
        <f t="shared" ref="H103:H116" si="7">VLOOKUP(D103,Bahan,6,FALSE)</f>
        <v>31250</v>
      </c>
      <c r="I103" s="126">
        <f t="shared" si="6"/>
        <v>39062.5</v>
      </c>
    </row>
    <row r="104" spans="3:9" ht="15.95" hidden="1" customHeight="1" x14ac:dyDescent="0.25">
      <c r="C104" s="122"/>
      <c r="D104" s="117" t="s">
        <v>408</v>
      </c>
      <c r="E104" s="118"/>
      <c r="F104" s="123" t="s">
        <v>158</v>
      </c>
      <c r="G104" s="124">
        <v>0.18</v>
      </c>
      <c r="H104" s="144">
        <f t="shared" si="7"/>
        <v>6765000</v>
      </c>
      <c r="I104" s="126">
        <f t="shared" si="6"/>
        <v>1217700</v>
      </c>
    </row>
    <row r="105" spans="3:9" ht="15.95" hidden="1" customHeight="1" x14ac:dyDescent="0.25">
      <c r="C105" s="122"/>
      <c r="D105" s="117" t="s">
        <v>383</v>
      </c>
      <c r="E105" s="118"/>
      <c r="F105" s="123" t="s">
        <v>159</v>
      </c>
      <c r="G105" s="124">
        <v>0.08</v>
      </c>
      <c r="H105" s="144">
        <f t="shared" si="7"/>
        <v>27970</v>
      </c>
      <c r="I105" s="126">
        <f t="shared" si="6"/>
        <v>2237.6</v>
      </c>
    </row>
    <row r="106" spans="3:9" ht="15.95" hidden="1" customHeight="1" x14ac:dyDescent="0.25">
      <c r="C106" s="122"/>
      <c r="D106" s="117" t="s">
        <v>415</v>
      </c>
      <c r="E106" s="118"/>
      <c r="F106" s="123" t="s">
        <v>159</v>
      </c>
      <c r="G106" s="124">
        <v>1.1000000000000001</v>
      </c>
      <c r="H106" s="144">
        <f t="shared" si="7"/>
        <v>12500</v>
      </c>
      <c r="I106" s="126">
        <f t="shared" si="6"/>
        <v>13750.000000000002</v>
      </c>
    </row>
    <row r="107" spans="3:9" ht="15.95" hidden="1" customHeight="1" x14ac:dyDescent="0.25">
      <c r="C107" s="122"/>
      <c r="D107" s="117" t="s">
        <v>380</v>
      </c>
      <c r="E107" s="118"/>
      <c r="F107" s="123" t="s">
        <v>159</v>
      </c>
      <c r="G107" s="124">
        <v>35</v>
      </c>
      <c r="H107" s="144">
        <f t="shared" si="7"/>
        <v>1880</v>
      </c>
      <c r="I107" s="126">
        <f t="shared" si="6"/>
        <v>65800</v>
      </c>
    </row>
    <row r="108" spans="3:9" ht="15.95" hidden="1" customHeight="1" x14ac:dyDescent="0.25">
      <c r="C108" s="122"/>
      <c r="D108" s="117" t="s">
        <v>416</v>
      </c>
      <c r="E108" s="118"/>
      <c r="F108" s="123" t="s">
        <v>158</v>
      </c>
      <c r="G108" s="124">
        <v>0.15</v>
      </c>
      <c r="H108" s="144">
        <f t="shared" si="7"/>
        <v>253510</v>
      </c>
      <c r="I108" s="126">
        <f t="shared" si="6"/>
        <v>38026.5</v>
      </c>
    </row>
    <row r="109" spans="3:9" ht="15.95" hidden="1" customHeight="1" x14ac:dyDescent="0.25">
      <c r="C109" s="122"/>
      <c r="D109" s="117" t="s">
        <v>1919</v>
      </c>
      <c r="E109" s="118"/>
      <c r="F109" s="123" t="s">
        <v>158</v>
      </c>
      <c r="G109" s="124">
        <v>0.1</v>
      </c>
      <c r="H109" s="144">
        <f t="shared" si="7"/>
        <v>350000</v>
      </c>
      <c r="I109" s="126">
        <f t="shared" si="6"/>
        <v>35000</v>
      </c>
    </row>
    <row r="110" spans="3:9" ht="15.95" hidden="1" customHeight="1" x14ac:dyDescent="0.25">
      <c r="C110" s="122"/>
      <c r="D110" s="117" t="s">
        <v>381</v>
      </c>
      <c r="E110" s="118"/>
      <c r="F110" s="123" t="s">
        <v>158</v>
      </c>
      <c r="G110" s="124">
        <v>0.15</v>
      </c>
      <c r="H110" s="144">
        <f t="shared" si="7"/>
        <v>600000</v>
      </c>
      <c r="I110" s="126">
        <f t="shared" si="6"/>
        <v>90000</v>
      </c>
    </row>
    <row r="111" spans="3:9" ht="15.95" hidden="1" customHeight="1" x14ac:dyDescent="0.25">
      <c r="C111" s="122"/>
      <c r="D111" s="117" t="s">
        <v>417</v>
      </c>
      <c r="E111" s="118"/>
      <c r="F111" s="123" t="s">
        <v>418</v>
      </c>
      <c r="G111" s="124">
        <v>30</v>
      </c>
      <c r="H111" s="144">
        <f t="shared" si="7"/>
        <v>1040</v>
      </c>
      <c r="I111" s="126">
        <f t="shared" si="6"/>
        <v>31200</v>
      </c>
    </row>
    <row r="112" spans="3:9" ht="15.95" hidden="1" customHeight="1" x14ac:dyDescent="0.25">
      <c r="C112" s="122"/>
      <c r="D112" s="117" t="s">
        <v>419</v>
      </c>
      <c r="E112" s="118"/>
      <c r="F112" s="123" t="s">
        <v>399</v>
      </c>
      <c r="G112" s="124">
        <v>0.25</v>
      </c>
      <c r="H112" s="144">
        <f t="shared" si="7"/>
        <v>33000</v>
      </c>
      <c r="I112" s="126">
        <f t="shared" si="6"/>
        <v>8250</v>
      </c>
    </row>
    <row r="113" spans="2:10" ht="15.95" hidden="1" customHeight="1" x14ac:dyDescent="0.25">
      <c r="C113" s="122"/>
      <c r="D113" s="117" t="s">
        <v>420</v>
      </c>
      <c r="E113" s="118"/>
      <c r="F113" s="123" t="s">
        <v>418</v>
      </c>
      <c r="G113" s="124">
        <v>0.2</v>
      </c>
      <c r="H113" s="144">
        <f t="shared" si="7"/>
        <v>30140</v>
      </c>
      <c r="I113" s="126">
        <f t="shared" si="6"/>
        <v>6028</v>
      </c>
    </row>
    <row r="114" spans="2:10" ht="15.95" hidden="1" customHeight="1" x14ac:dyDescent="0.25">
      <c r="C114" s="122"/>
      <c r="D114" s="117" t="s">
        <v>421</v>
      </c>
      <c r="E114" s="118"/>
      <c r="F114" s="123" t="s">
        <v>82</v>
      </c>
      <c r="G114" s="124">
        <v>0.08</v>
      </c>
      <c r="H114" s="144">
        <f t="shared" si="7"/>
        <v>138600</v>
      </c>
      <c r="I114" s="126">
        <f t="shared" si="6"/>
        <v>11088</v>
      </c>
    </row>
    <row r="115" spans="2:10" ht="15.95" hidden="1" customHeight="1" x14ac:dyDescent="0.25">
      <c r="C115" s="122"/>
      <c r="D115" s="117" t="s">
        <v>422</v>
      </c>
      <c r="E115" s="118"/>
      <c r="F115" s="123" t="s">
        <v>418</v>
      </c>
      <c r="G115" s="124">
        <v>0.15</v>
      </c>
      <c r="H115" s="144">
        <f t="shared" si="7"/>
        <v>130000</v>
      </c>
      <c r="I115" s="126">
        <f t="shared" si="6"/>
        <v>19500</v>
      </c>
    </row>
    <row r="116" spans="2:10" ht="15.95" hidden="1" customHeight="1" thickBot="1" x14ac:dyDescent="0.3">
      <c r="C116" s="127"/>
      <c r="D116" s="128" t="s">
        <v>423</v>
      </c>
      <c r="E116" s="145"/>
      <c r="F116" s="129" t="s">
        <v>399</v>
      </c>
      <c r="G116" s="130">
        <v>0.06</v>
      </c>
      <c r="H116" s="144">
        <f t="shared" si="7"/>
        <v>78000</v>
      </c>
      <c r="I116" s="126">
        <f t="shared" si="6"/>
        <v>4680</v>
      </c>
    </row>
    <row r="117" spans="2:10" ht="15.95" hidden="1" customHeight="1" thickBot="1" x14ac:dyDescent="0.3">
      <c r="C117" s="132"/>
      <c r="D117" s="133"/>
      <c r="E117" s="134"/>
      <c r="F117" s="134"/>
      <c r="G117" s="135" t="s">
        <v>386</v>
      </c>
      <c r="H117" s="136"/>
      <c r="I117" s="137">
        <f>SUM(I103:I116)</f>
        <v>1582322.6</v>
      </c>
    </row>
    <row r="118" spans="2:10" ht="15.95" hidden="1" customHeight="1" thickBot="1" x14ac:dyDescent="0.3">
      <c r="C118" s="147" t="s">
        <v>387</v>
      </c>
      <c r="D118" s="148" t="s">
        <v>388</v>
      </c>
      <c r="E118" s="149"/>
      <c r="F118" s="149"/>
      <c r="G118" s="150"/>
      <c r="H118" s="144">
        <f>IF(AND(D118&lt;&gt;"",F118&lt;&gt;""),IF(C118="",IF(F118="OH",VLOOKUP(D118,[1]UPAH!$B$3:$G$32,7,0),VLOOKUP(D118,[1]BAHAN!$A$2:$D$3,4,0)),0),0)</f>
        <v>0</v>
      </c>
      <c r="I118" s="126">
        <f>G118*H118</f>
        <v>0</v>
      </c>
    </row>
    <row r="119" spans="2:10" ht="15.95" hidden="1" customHeight="1" thickBot="1" x14ac:dyDescent="0.3">
      <c r="C119" s="132"/>
      <c r="D119" s="133"/>
      <c r="E119" s="134"/>
      <c r="F119" s="134"/>
      <c r="G119" s="135" t="s">
        <v>389</v>
      </c>
      <c r="H119" s="136"/>
      <c r="I119" s="137">
        <f>I118</f>
        <v>0</v>
      </c>
    </row>
    <row r="120" spans="2:10" ht="15.95" hidden="1" customHeight="1" x14ac:dyDescent="0.25">
      <c r="C120" s="158" t="s">
        <v>390</v>
      </c>
      <c r="D120" s="159" t="s">
        <v>391</v>
      </c>
      <c r="E120" s="160"/>
      <c r="F120" s="160"/>
      <c r="G120" s="161"/>
      <c r="H120" s="144">
        <f>IF(AND(D120&lt;&gt;"",F120&lt;&gt;""),IF(C120="",IF(F120="OH",VLOOKUP(D120,[1]UPAH!$B$3:$G$32,7,0),VLOOKUP(D120,[1]BAHAN!$A$2:$D$3,4,0)),0),0)</f>
        <v>0</v>
      </c>
      <c r="I120" s="163">
        <f>SUM(I96:I119)/2</f>
        <v>2340322.6</v>
      </c>
    </row>
    <row r="121" spans="2:10" ht="15.95" hidden="1" customHeight="1" thickBot="1" x14ac:dyDescent="0.3">
      <c r="C121" s="147" t="s">
        <v>392</v>
      </c>
      <c r="D121" s="148" t="s">
        <v>393</v>
      </c>
      <c r="E121" s="149"/>
      <c r="F121" s="149"/>
      <c r="G121" s="164">
        <v>0.1</v>
      </c>
      <c r="H121" s="155"/>
      <c r="I121" s="146">
        <f>G121*I120</f>
        <v>234032.26</v>
      </c>
    </row>
    <row r="122" spans="2:10" ht="15.95" hidden="1" customHeight="1" thickBot="1" x14ac:dyDescent="0.3">
      <c r="C122" s="111" t="s">
        <v>394</v>
      </c>
      <c r="D122" s="112" t="s">
        <v>395</v>
      </c>
      <c r="E122" s="134"/>
      <c r="F122" s="134"/>
      <c r="G122" s="156"/>
      <c r="H122" s="136">
        <f>IF(AND(D122&lt;&gt;"",F122&lt;&gt;""),IF(C122="",IF(F122="OH",VLOOKUP(D122,[1]UPAH!$B$3:$G$32,7,0),VLOOKUP(D122,[1]BAHAN!$A$2:$D$3,4,0)),0),0)</f>
        <v>0</v>
      </c>
      <c r="I122" s="137">
        <f>ROUNDDOWN(I120+I121,0)</f>
        <v>2574354</v>
      </c>
    </row>
    <row r="123" spans="2:10" ht="15.95" hidden="1" customHeight="1" x14ac:dyDescent="0.25">
      <c r="C123" s="109"/>
      <c r="D123" s="109"/>
      <c r="G123" s="157"/>
    </row>
    <row r="124" spans="2:10" ht="15.95" hidden="1" customHeight="1" thickBot="1" x14ac:dyDescent="0.3">
      <c r="B124" s="104" t="s">
        <v>424</v>
      </c>
      <c r="C124" s="109" t="s">
        <v>425</v>
      </c>
      <c r="G124" s="157"/>
      <c r="J124" s="110">
        <f>I146</f>
        <v>2323646</v>
      </c>
    </row>
    <row r="125" spans="2:10" ht="15.95" hidden="1" customHeight="1" thickBot="1" x14ac:dyDescent="0.3">
      <c r="C125" s="111" t="s">
        <v>328</v>
      </c>
      <c r="D125" s="112" t="s">
        <v>359</v>
      </c>
      <c r="E125" s="113" t="s">
        <v>360</v>
      </c>
      <c r="F125" s="113" t="s">
        <v>330</v>
      </c>
      <c r="G125" s="114" t="s">
        <v>361</v>
      </c>
      <c r="H125" s="112" t="s">
        <v>362</v>
      </c>
      <c r="I125" s="115" t="s">
        <v>363</v>
      </c>
    </row>
    <row r="126" spans="2:10" ht="15.95" hidden="1" customHeight="1" x14ac:dyDescent="0.25">
      <c r="C126" s="158" t="s">
        <v>364</v>
      </c>
      <c r="D126" s="159" t="s">
        <v>365</v>
      </c>
      <c r="E126" s="160"/>
      <c r="F126" s="160"/>
      <c r="G126" s="161"/>
      <c r="H126" s="144"/>
      <c r="I126" s="126"/>
    </row>
    <row r="127" spans="2:10" ht="15.95" hidden="1" customHeight="1" x14ac:dyDescent="0.25">
      <c r="C127" s="122"/>
      <c r="D127" s="117" t="s">
        <v>366</v>
      </c>
      <c r="E127" s="123" t="s">
        <v>367</v>
      </c>
      <c r="F127" s="123" t="s">
        <v>368</v>
      </c>
      <c r="G127" s="124">
        <v>1</v>
      </c>
      <c r="H127" s="125">
        <f>VLOOKUP(D127,Upah,8,FALSE)</f>
        <v>125000</v>
      </c>
      <c r="I127" s="126">
        <f>G127*H127</f>
        <v>125000</v>
      </c>
    </row>
    <row r="128" spans="2:10" ht="15.95" hidden="1" customHeight="1" x14ac:dyDescent="0.25">
      <c r="C128" s="122"/>
      <c r="D128" s="117" t="s">
        <v>369</v>
      </c>
      <c r="E128" s="123" t="s">
        <v>370</v>
      </c>
      <c r="F128" s="123" t="s">
        <v>368</v>
      </c>
      <c r="G128" s="124">
        <v>2</v>
      </c>
      <c r="H128" s="125">
        <f>VLOOKUP(D128,Upah,8,FALSE)</f>
        <v>150000</v>
      </c>
      <c r="I128" s="126">
        <f>G128*H128</f>
        <v>300000</v>
      </c>
    </row>
    <row r="129" spans="3:9" ht="15.95" hidden="1" customHeight="1" x14ac:dyDescent="0.25">
      <c r="C129" s="122"/>
      <c r="D129" s="117" t="s">
        <v>371</v>
      </c>
      <c r="E129" s="123" t="s">
        <v>372</v>
      </c>
      <c r="F129" s="123" t="s">
        <v>368</v>
      </c>
      <c r="G129" s="124">
        <v>0.2</v>
      </c>
      <c r="H129" s="125">
        <f>VLOOKUP(D129,Upah,8,FALSE)</f>
        <v>165000</v>
      </c>
      <c r="I129" s="126">
        <f>G129*H129</f>
        <v>33000</v>
      </c>
    </row>
    <row r="130" spans="3:9" ht="15.95" hidden="1" customHeight="1" thickBot="1" x14ac:dyDescent="0.3">
      <c r="C130" s="127"/>
      <c r="D130" s="128" t="s">
        <v>373</v>
      </c>
      <c r="E130" s="129" t="s">
        <v>374</v>
      </c>
      <c r="F130" s="129" t="s">
        <v>368</v>
      </c>
      <c r="G130" s="130">
        <v>0.05</v>
      </c>
      <c r="H130" s="125">
        <f>VLOOKUP(D130,Upah,8,FALSE)</f>
        <v>170000</v>
      </c>
      <c r="I130" s="126">
        <f>G130*H130</f>
        <v>8500</v>
      </c>
    </row>
    <row r="131" spans="3:9" ht="15.95" hidden="1" customHeight="1" thickBot="1" x14ac:dyDescent="0.3">
      <c r="C131" s="132"/>
      <c r="D131" s="133"/>
      <c r="E131" s="134"/>
      <c r="F131" s="134"/>
      <c r="G131" s="135" t="s">
        <v>375</v>
      </c>
      <c r="H131" s="136"/>
      <c r="I131" s="137">
        <f>SUM(I127:I130)</f>
        <v>466500</v>
      </c>
    </row>
    <row r="132" spans="3:9" ht="15.95" hidden="1" customHeight="1" x14ac:dyDescent="0.25">
      <c r="C132" s="138" t="s">
        <v>376</v>
      </c>
      <c r="D132" s="139" t="s">
        <v>377</v>
      </c>
      <c r="E132" s="140"/>
      <c r="F132" s="140"/>
      <c r="G132" s="141"/>
      <c r="H132" s="144"/>
      <c r="I132" s="126"/>
    </row>
    <row r="133" spans="3:9" ht="15.95" hidden="1" customHeight="1" x14ac:dyDescent="0.25">
      <c r="C133" s="122"/>
      <c r="D133" s="117" t="s">
        <v>378</v>
      </c>
      <c r="E133" s="118"/>
      <c r="F133" s="123" t="s">
        <v>379</v>
      </c>
      <c r="G133" s="124">
        <v>1.7</v>
      </c>
      <c r="H133" s="144">
        <f t="shared" ref="H133:H140" si="8">VLOOKUP(D133,Bahan,6,FALSE)</f>
        <v>31250</v>
      </c>
      <c r="I133" s="126">
        <f t="shared" ref="I133:I140" si="9">G133*H133</f>
        <v>53125</v>
      </c>
    </row>
    <row r="134" spans="3:9" ht="15.95" hidden="1" customHeight="1" x14ac:dyDescent="0.25">
      <c r="C134" s="122"/>
      <c r="D134" s="117" t="s">
        <v>426</v>
      </c>
      <c r="E134" s="118"/>
      <c r="F134" s="123" t="s">
        <v>158</v>
      </c>
      <c r="G134" s="124">
        <v>0.21</v>
      </c>
      <c r="H134" s="144">
        <f t="shared" si="8"/>
        <v>6765000</v>
      </c>
      <c r="I134" s="126">
        <f t="shared" si="9"/>
        <v>1420650</v>
      </c>
    </row>
    <row r="135" spans="3:9" ht="15.95" hidden="1" customHeight="1" x14ac:dyDescent="0.25">
      <c r="C135" s="122"/>
      <c r="D135" s="117" t="s">
        <v>383</v>
      </c>
      <c r="E135" s="118"/>
      <c r="F135" s="123" t="s">
        <v>159</v>
      </c>
      <c r="G135" s="124">
        <v>0.3</v>
      </c>
      <c r="H135" s="144">
        <f t="shared" si="8"/>
        <v>27970</v>
      </c>
      <c r="I135" s="126">
        <f t="shared" si="9"/>
        <v>8391</v>
      </c>
    </row>
    <row r="136" spans="3:9" ht="15.95" hidden="1" customHeight="1" x14ac:dyDescent="0.25">
      <c r="C136" s="122"/>
      <c r="D136" s="117" t="s">
        <v>380</v>
      </c>
      <c r="E136" s="118"/>
      <c r="F136" s="123" t="s">
        <v>159</v>
      </c>
      <c r="G136" s="124">
        <v>10.5</v>
      </c>
      <c r="H136" s="144">
        <f t="shared" si="8"/>
        <v>1880</v>
      </c>
      <c r="I136" s="126">
        <f t="shared" si="9"/>
        <v>19740</v>
      </c>
    </row>
    <row r="137" spans="3:9" ht="15.95" hidden="1" customHeight="1" x14ac:dyDescent="0.25">
      <c r="C137" s="122"/>
      <c r="D137" s="117" t="s">
        <v>1919</v>
      </c>
      <c r="E137" s="118"/>
      <c r="F137" s="123" t="s">
        <v>158</v>
      </c>
      <c r="G137" s="124">
        <v>0.03</v>
      </c>
      <c r="H137" s="144">
        <f t="shared" si="8"/>
        <v>350000</v>
      </c>
      <c r="I137" s="126">
        <f t="shared" si="9"/>
        <v>10500</v>
      </c>
    </row>
    <row r="138" spans="3:9" ht="15.95" hidden="1" customHeight="1" x14ac:dyDescent="0.25">
      <c r="C138" s="122"/>
      <c r="D138" s="117" t="s">
        <v>381</v>
      </c>
      <c r="E138" s="118"/>
      <c r="F138" s="123" t="s">
        <v>158</v>
      </c>
      <c r="G138" s="124">
        <v>0.05</v>
      </c>
      <c r="H138" s="144">
        <f t="shared" si="8"/>
        <v>600000</v>
      </c>
      <c r="I138" s="126">
        <f t="shared" si="9"/>
        <v>30000</v>
      </c>
    </row>
    <row r="139" spans="3:9" ht="15.95" hidden="1" customHeight="1" x14ac:dyDescent="0.25">
      <c r="C139" s="122"/>
      <c r="D139" s="117" t="s">
        <v>398</v>
      </c>
      <c r="E139" s="118"/>
      <c r="F139" s="123" t="s">
        <v>399</v>
      </c>
      <c r="G139" s="124">
        <v>1.5</v>
      </c>
      <c r="H139" s="144">
        <f t="shared" si="8"/>
        <v>63500</v>
      </c>
      <c r="I139" s="126">
        <f t="shared" si="9"/>
        <v>95250</v>
      </c>
    </row>
    <row r="140" spans="3:9" ht="15.95" hidden="1" customHeight="1" thickBot="1" x14ac:dyDescent="0.3">
      <c r="C140" s="127"/>
      <c r="D140" s="128" t="s">
        <v>419</v>
      </c>
      <c r="E140" s="145"/>
      <c r="F140" s="129" t="s">
        <v>399</v>
      </c>
      <c r="G140" s="130">
        <v>0.25</v>
      </c>
      <c r="H140" s="144">
        <f t="shared" si="8"/>
        <v>33000</v>
      </c>
      <c r="I140" s="126">
        <f t="shared" si="9"/>
        <v>8250</v>
      </c>
    </row>
    <row r="141" spans="3:9" ht="15.95" hidden="1" customHeight="1" thickBot="1" x14ac:dyDescent="0.3">
      <c r="C141" s="132"/>
      <c r="D141" s="133"/>
      <c r="E141" s="134"/>
      <c r="F141" s="134"/>
      <c r="G141" s="135" t="s">
        <v>386</v>
      </c>
      <c r="H141" s="136"/>
      <c r="I141" s="137">
        <f>SUM(I133:I140)</f>
        <v>1645906</v>
      </c>
    </row>
    <row r="142" spans="3:9" ht="15.95" hidden="1" customHeight="1" thickBot="1" x14ac:dyDescent="0.3">
      <c r="C142" s="147" t="s">
        <v>387</v>
      </c>
      <c r="D142" s="148" t="s">
        <v>388</v>
      </c>
      <c r="E142" s="149"/>
      <c r="F142" s="149"/>
      <c r="G142" s="150"/>
      <c r="H142" s="144"/>
      <c r="I142" s="126"/>
    </row>
    <row r="143" spans="3:9" ht="15.95" hidden="1" customHeight="1" thickBot="1" x14ac:dyDescent="0.3">
      <c r="C143" s="132"/>
      <c r="D143" s="133"/>
      <c r="E143" s="134"/>
      <c r="F143" s="134"/>
      <c r="G143" s="135" t="s">
        <v>389</v>
      </c>
      <c r="H143" s="136"/>
      <c r="I143" s="137"/>
    </row>
    <row r="144" spans="3:9" ht="15.95" hidden="1" customHeight="1" x14ac:dyDescent="0.25">
      <c r="C144" s="158" t="s">
        <v>390</v>
      </c>
      <c r="D144" s="159" t="s">
        <v>391</v>
      </c>
      <c r="E144" s="160"/>
      <c r="F144" s="160"/>
      <c r="G144" s="161"/>
      <c r="H144" s="162"/>
      <c r="I144" s="126">
        <f>SUM(I127:I143)/2</f>
        <v>2112406</v>
      </c>
    </row>
    <row r="145" spans="2:10" ht="15.95" hidden="1" customHeight="1" thickBot="1" x14ac:dyDescent="0.3">
      <c r="C145" s="147" t="s">
        <v>392</v>
      </c>
      <c r="D145" s="148" t="s">
        <v>393</v>
      </c>
      <c r="E145" s="149"/>
      <c r="F145" s="149"/>
      <c r="G145" s="164">
        <v>0.1</v>
      </c>
      <c r="H145" s="151"/>
      <c r="I145" s="146">
        <f>G145*I144</f>
        <v>211240.6</v>
      </c>
    </row>
    <row r="146" spans="2:10" ht="15.95" hidden="1" customHeight="1" thickBot="1" x14ac:dyDescent="0.3">
      <c r="C146" s="111" t="s">
        <v>394</v>
      </c>
      <c r="D146" s="112" t="s">
        <v>395</v>
      </c>
      <c r="E146" s="134"/>
      <c r="F146" s="134"/>
      <c r="G146" s="156"/>
      <c r="H146" s="136"/>
      <c r="I146" s="137">
        <f>ROUNDDOWN(I144+I145,0)</f>
        <v>2323646</v>
      </c>
    </row>
    <row r="147" spans="2:10" ht="15.95" hidden="1" customHeight="1" x14ac:dyDescent="0.25">
      <c r="C147" s="109"/>
      <c r="D147" s="109"/>
      <c r="G147" s="157"/>
    </row>
    <row r="148" spans="2:10" ht="15.95" hidden="1" customHeight="1" thickBot="1" x14ac:dyDescent="0.3">
      <c r="B148" s="104" t="s">
        <v>427</v>
      </c>
      <c r="C148" s="109" t="s">
        <v>428</v>
      </c>
      <c r="G148" s="157"/>
      <c r="J148" s="110">
        <f>I166</f>
        <v>2704865</v>
      </c>
    </row>
    <row r="149" spans="2:10" ht="15.95" hidden="1" customHeight="1" thickBot="1" x14ac:dyDescent="0.3">
      <c r="C149" s="111" t="s">
        <v>328</v>
      </c>
      <c r="D149" s="112" t="s">
        <v>359</v>
      </c>
      <c r="E149" s="113" t="s">
        <v>360</v>
      </c>
      <c r="F149" s="113" t="s">
        <v>330</v>
      </c>
      <c r="G149" s="114" t="s">
        <v>361</v>
      </c>
      <c r="H149" s="112" t="s">
        <v>362</v>
      </c>
      <c r="I149" s="115" t="s">
        <v>363</v>
      </c>
    </row>
    <row r="150" spans="2:10" ht="15.95" hidden="1" customHeight="1" x14ac:dyDescent="0.25">
      <c r="C150" s="158" t="s">
        <v>364</v>
      </c>
      <c r="D150" s="159" t="s">
        <v>365</v>
      </c>
      <c r="E150" s="160"/>
      <c r="F150" s="160"/>
      <c r="G150" s="161"/>
      <c r="H150" s="144">
        <f>IF(AND(D150&lt;&gt;"",F150&lt;&gt;""),IF(C150="",IF(F150="OH",VLOOKUP(D150,[1]UPAH!$B$3:$G$32,7,0),VLOOKUP(D150,[1]BAHAN!$A$2:$D$3,4,0)),0),0)</f>
        <v>0</v>
      </c>
      <c r="I150" s="126">
        <f>G150*H150</f>
        <v>0</v>
      </c>
    </row>
    <row r="151" spans="2:10" ht="15.95" hidden="1" customHeight="1" x14ac:dyDescent="0.25">
      <c r="C151" s="122"/>
      <c r="D151" s="117" t="s">
        <v>366</v>
      </c>
      <c r="E151" s="123" t="s">
        <v>367</v>
      </c>
      <c r="F151" s="123" t="s">
        <v>368</v>
      </c>
      <c r="G151" s="124">
        <v>1</v>
      </c>
      <c r="H151" s="125">
        <f>VLOOKUP(D151,Upah,8,FALSE)</f>
        <v>125000</v>
      </c>
      <c r="I151" s="126">
        <f>G151*H151</f>
        <v>125000</v>
      </c>
    </row>
    <row r="152" spans="2:10" ht="15.95" hidden="1" customHeight="1" x14ac:dyDescent="0.25">
      <c r="C152" s="122"/>
      <c r="D152" s="117" t="s">
        <v>369</v>
      </c>
      <c r="E152" s="123" t="s">
        <v>370</v>
      </c>
      <c r="F152" s="123" t="s">
        <v>368</v>
      </c>
      <c r="G152" s="124">
        <v>1.5</v>
      </c>
      <c r="H152" s="125">
        <f>VLOOKUP(D152,Upah,8,FALSE)</f>
        <v>150000</v>
      </c>
      <c r="I152" s="126">
        <f>G152*H152</f>
        <v>225000</v>
      </c>
    </row>
    <row r="153" spans="2:10" ht="15.95" hidden="1" customHeight="1" x14ac:dyDescent="0.25">
      <c r="C153" s="122"/>
      <c r="D153" s="117" t="s">
        <v>429</v>
      </c>
      <c r="E153" s="123" t="s">
        <v>372</v>
      </c>
      <c r="F153" s="123" t="s">
        <v>368</v>
      </c>
      <c r="G153" s="124">
        <v>0.15</v>
      </c>
      <c r="H153" s="125">
        <f>VLOOKUP(D153,Upah,8,FALSE)</f>
        <v>165000</v>
      </c>
      <c r="I153" s="126">
        <f>G153*H153</f>
        <v>24750</v>
      </c>
    </row>
    <row r="154" spans="2:10" ht="15.95" hidden="1" customHeight="1" thickBot="1" x14ac:dyDescent="0.3">
      <c r="C154" s="127"/>
      <c r="D154" s="128" t="s">
        <v>373</v>
      </c>
      <c r="E154" s="129" t="s">
        <v>374</v>
      </c>
      <c r="F154" s="129" t="s">
        <v>368</v>
      </c>
      <c r="G154" s="130">
        <v>0.05</v>
      </c>
      <c r="H154" s="125">
        <f>VLOOKUP(D154,Upah,8,FALSE)</f>
        <v>170000</v>
      </c>
      <c r="I154" s="126">
        <f>G154*H154</f>
        <v>8500</v>
      </c>
    </row>
    <row r="155" spans="2:10" ht="15.95" hidden="1" customHeight="1" thickBot="1" x14ac:dyDescent="0.3">
      <c r="C155" s="132"/>
      <c r="D155" s="133"/>
      <c r="E155" s="134"/>
      <c r="F155" s="134"/>
      <c r="G155" s="135" t="s">
        <v>375</v>
      </c>
      <c r="H155" s="136"/>
      <c r="I155" s="137">
        <f>SUM(I151:I154)</f>
        <v>383250</v>
      </c>
    </row>
    <row r="156" spans="2:10" ht="15.95" hidden="1" customHeight="1" x14ac:dyDescent="0.25">
      <c r="C156" s="138" t="s">
        <v>376</v>
      </c>
      <c r="D156" s="139" t="s">
        <v>377</v>
      </c>
      <c r="E156" s="140"/>
      <c r="F156" s="140"/>
      <c r="G156" s="141"/>
      <c r="H156" s="144"/>
      <c r="I156" s="126"/>
    </row>
    <row r="157" spans="2:10" ht="15.95" hidden="1" customHeight="1" x14ac:dyDescent="0.25">
      <c r="C157" s="122"/>
      <c r="D157" s="117" t="s">
        <v>378</v>
      </c>
      <c r="E157" s="118"/>
      <c r="F157" s="123" t="s">
        <v>379</v>
      </c>
      <c r="G157" s="124">
        <v>3</v>
      </c>
      <c r="H157" s="144">
        <f>VLOOKUP(D157,Bahan,6,FALSE)</f>
        <v>31250</v>
      </c>
      <c r="I157" s="126">
        <f>G157*H157</f>
        <v>93750</v>
      </c>
    </row>
    <row r="158" spans="2:10" ht="15.95" hidden="1" customHeight="1" x14ac:dyDescent="0.25">
      <c r="C158" s="122"/>
      <c r="D158" s="117" t="s">
        <v>426</v>
      </c>
      <c r="E158" s="118"/>
      <c r="F158" s="123" t="s">
        <v>158</v>
      </c>
      <c r="G158" s="124">
        <v>0.27600000000000002</v>
      </c>
      <c r="H158" s="144">
        <f>VLOOKUP(D158,Bahan,6,FALSE)</f>
        <v>6765000</v>
      </c>
      <c r="I158" s="126">
        <f>G158*H158</f>
        <v>1867140.0000000002</v>
      </c>
    </row>
    <row r="159" spans="2:10" ht="15.95" hidden="1" customHeight="1" x14ac:dyDescent="0.25">
      <c r="C159" s="122"/>
      <c r="D159" s="117" t="s">
        <v>383</v>
      </c>
      <c r="E159" s="118"/>
      <c r="F159" s="123" t="s">
        <v>159</v>
      </c>
      <c r="G159" s="124">
        <v>0.7</v>
      </c>
      <c r="H159" s="144">
        <f>VLOOKUP(D159,Bahan,6,FALSE)</f>
        <v>27970</v>
      </c>
      <c r="I159" s="126">
        <f>G159*H159</f>
        <v>19579</v>
      </c>
    </row>
    <row r="160" spans="2:10" ht="15.95" hidden="1" customHeight="1" thickBot="1" x14ac:dyDescent="0.3">
      <c r="C160" s="127"/>
      <c r="D160" s="128" t="s">
        <v>398</v>
      </c>
      <c r="E160" s="145"/>
      <c r="F160" s="129" t="s">
        <v>399</v>
      </c>
      <c r="G160" s="130">
        <v>1.5</v>
      </c>
      <c r="H160" s="144">
        <f>VLOOKUP(D160,Bahan,6,FALSE)</f>
        <v>63500</v>
      </c>
      <c r="I160" s="126">
        <f>G160*H160</f>
        <v>95250</v>
      </c>
    </row>
    <row r="161" spans="2:10" ht="15.95" hidden="1" customHeight="1" thickBot="1" x14ac:dyDescent="0.3">
      <c r="C161" s="132"/>
      <c r="D161" s="133"/>
      <c r="E161" s="134"/>
      <c r="F161" s="134"/>
      <c r="G161" s="135" t="s">
        <v>386</v>
      </c>
      <c r="H161" s="136"/>
      <c r="I161" s="137">
        <f>SUM(I156:I160)</f>
        <v>2075719.0000000002</v>
      </c>
    </row>
    <row r="162" spans="2:10" ht="15.95" hidden="1" customHeight="1" thickBot="1" x14ac:dyDescent="0.3">
      <c r="C162" s="147" t="s">
        <v>387</v>
      </c>
      <c r="D162" s="148" t="s">
        <v>388</v>
      </c>
      <c r="E162" s="149"/>
      <c r="F162" s="149"/>
      <c r="G162" s="150"/>
      <c r="H162" s="144">
        <f>IF(AND(D162&lt;&gt;"",F162&lt;&gt;""),IF(C162="",IF(F162="OH",VLOOKUP(D162,[1]UPAH!$B$3:$G$32,7,0),VLOOKUP(D162,[1]BAHAN!$A$2:$D$3,4,0)),0),0)</f>
        <v>0</v>
      </c>
      <c r="I162" s="126">
        <f>G162*H162</f>
        <v>0</v>
      </c>
    </row>
    <row r="163" spans="2:10" ht="15.95" hidden="1" customHeight="1" thickBot="1" x14ac:dyDescent="0.3">
      <c r="C163" s="132"/>
      <c r="D163" s="133"/>
      <c r="E163" s="134"/>
      <c r="F163" s="134"/>
      <c r="G163" s="135" t="s">
        <v>389</v>
      </c>
      <c r="H163" s="136"/>
      <c r="I163" s="137">
        <f>I162</f>
        <v>0</v>
      </c>
    </row>
    <row r="164" spans="2:10" ht="15.95" hidden="1" customHeight="1" x14ac:dyDescent="0.25">
      <c r="C164" s="158" t="s">
        <v>390</v>
      </c>
      <c r="D164" s="159" t="s">
        <v>391</v>
      </c>
      <c r="E164" s="160"/>
      <c r="F164" s="160"/>
      <c r="G164" s="161"/>
      <c r="H164" s="144">
        <f>IF(AND(D164&lt;&gt;"",F164&lt;&gt;""),IF(C164="",IF(F164="OH",VLOOKUP(D164,[1]UPAH!$B$3:$G$32,7,0),VLOOKUP(D164,[1]BAHAN!$A$2:$D$3,4,0)),0),0)</f>
        <v>0</v>
      </c>
      <c r="I164" s="126">
        <f>SUM(I151:I162)/2</f>
        <v>2458969</v>
      </c>
    </row>
    <row r="165" spans="2:10" ht="15.95" hidden="1" customHeight="1" thickBot="1" x14ac:dyDescent="0.3">
      <c r="C165" s="147" t="s">
        <v>392</v>
      </c>
      <c r="D165" s="148" t="s">
        <v>393</v>
      </c>
      <c r="E165" s="149"/>
      <c r="F165" s="149"/>
      <c r="G165" s="164">
        <v>0.1</v>
      </c>
      <c r="H165" s="155"/>
      <c r="I165" s="146">
        <f>G165*I164</f>
        <v>245896.90000000002</v>
      </c>
    </row>
    <row r="166" spans="2:10" ht="15.95" hidden="1" customHeight="1" thickBot="1" x14ac:dyDescent="0.3">
      <c r="C166" s="111" t="s">
        <v>394</v>
      </c>
      <c r="D166" s="112" t="s">
        <v>395</v>
      </c>
      <c r="E166" s="134"/>
      <c r="F166" s="134"/>
      <c r="G166" s="156"/>
      <c r="H166" s="136">
        <f>IF(AND(D166&lt;&gt;"",F166&lt;&gt;""),IF(C166="",IF(F166="OH",VLOOKUP(D166,[1]UPAH!$B$3:$G$32,7,0),VLOOKUP(D166,[1]BAHAN!$A$2:$D$3,4,0)),0),0)</f>
        <v>0</v>
      </c>
      <c r="I166" s="137">
        <f>ROUNDDOWN(I164+I165,0)</f>
        <v>2704865</v>
      </c>
    </row>
    <row r="167" spans="2:10" ht="15.95" customHeight="1" x14ac:dyDescent="0.25">
      <c r="C167" s="109"/>
      <c r="D167" s="109"/>
      <c r="G167" s="157"/>
    </row>
    <row r="168" spans="2:10" ht="15.95" customHeight="1" thickBot="1" x14ac:dyDescent="0.3">
      <c r="B168" s="171" t="s">
        <v>430</v>
      </c>
      <c r="C168" s="109" t="s">
        <v>431</v>
      </c>
      <c r="G168" s="157"/>
      <c r="J168" s="110">
        <f>I180</f>
        <v>23100</v>
      </c>
    </row>
    <row r="169" spans="2:10" ht="15.95" customHeight="1" thickBot="1" x14ac:dyDescent="0.3">
      <c r="C169" s="111" t="s">
        <v>328</v>
      </c>
      <c r="D169" s="112" t="s">
        <v>359</v>
      </c>
      <c r="E169" s="113" t="s">
        <v>360</v>
      </c>
      <c r="F169" s="113" t="s">
        <v>330</v>
      </c>
      <c r="G169" s="114" t="s">
        <v>361</v>
      </c>
      <c r="H169" s="112" t="s">
        <v>362</v>
      </c>
      <c r="I169" s="115" t="s">
        <v>363</v>
      </c>
    </row>
    <row r="170" spans="2:10" ht="15.95" customHeight="1" x14ac:dyDescent="0.25">
      <c r="C170" s="158" t="s">
        <v>364</v>
      </c>
      <c r="D170" s="159" t="s">
        <v>365</v>
      </c>
      <c r="E170" s="160"/>
      <c r="F170" s="160"/>
      <c r="G170" s="161"/>
      <c r="H170" s="144">
        <f>IF(AND(D170&lt;&gt;"",F170&lt;&gt;""),IF(C170="",IF(F170="OH",VLOOKUP(D170,[1]UPAH!$B$3:$G$32,7,0),VLOOKUP(D170,[1]BAHAN!$A$2:$D$3,4,0)),0),0)</f>
        <v>0</v>
      </c>
      <c r="I170" s="126"/>
    </row>
    <row r="171" spans="2:10" ht="15.95" customHeight="1" x14ac:dyDescent="0.25">
      <c r="C171" s="122"/>
      <c r="D171" s="117" t="s">
        <v>366</v>
      </c>
      <c r="E171" s="123" t="s">
        <v>367</v>
      </c>
      <c r="F171" s="123" t="s">
        <v>368</v>
      </c>
      <c r="G171" s="124">
        <v>0.1</v>
      </c>
      <c r="H171" s="125">
        <f>VLOOKUP(D171,Upah,8,FALSE)</f>
        <v>125000</v>
      </c>
      <c r="I171" s="126">
        <f>G171*H171</f>
        <v>12500</v>
      </c>
    </row>
    <row r="172" spans="2:10" ht="15.95" customHeight="1" thickBot="1" x14ac:dyDescent="0.3">
      <c r="C172" s="127"/>
      <c r="D172" s="128" t="s">
        <v>373</v>
      </c>
      <c r="E172" s="129" t="s">
        <v>374</v>
      </c>
      <c r="F172" s="129" t="s">
        <v>368</v>
      </c>
      <c r="G172" s="130">
        <v>0.05</v>
      </c>
      <c r="H172" s="125">
        <f>VLOOKUP(D172,Upah,8,FALSE)</f>
        <v>170000</v>
      </c>
      <c r="I172" s="126">
        <f>G172*H172</f>
        <v>8500</v>
      </c>
    </row>
    <row r="173" spans="2:10" ht="15.95" customHeight="1" thickBot="1" x14ac:dyDescent="0.3">
      <c r="C173" s="132"/>
      <c r="D173" s="133"/>
      <c r="E173" s="134"/>
      <c r="F173" s="134"/>
      <c r="G173" s="135" t="s">
        <v>375</v>
      </c>
      <c r="H173" s="136"/>
      <c r="I173" s="137">
        <f>SUM(I171:I172)</f>
        <v>21000</v>
      </c>
    </row>
    <row r="174" spans="2:10" ht="15.95" customHeight="1" thickBot="1" x14ac:dyDescent="0.3">
      <c r="C174" s="147" t="s">
        <v>376</v>
      </c>
      <c r="D174" s="148" t="s">
        <v>377</v>
      </c>
      <c r="E174" s="149"/>
      <c r="F174" s="149"/>
      <c r="G174" s="150"/>
      <c r="H174" s="144">
        <f>IF(AND(D174&lt;&gt;"",F174&lt;&gt;""),IF(C174="",IF(F174="OH",VLOOKUP(D174,[1]UPAH!$B$3:$G$32,7,0),VLOOKUP(D174,[1]BAHAN!$A$2:$D$3,4,0)),0),0)</f>
        <v>0</v>
      </c>
      <c r="I174" s="126"/>
    </row>
    <row r="175" spans="2:10" ht="15.95" customHeight="1" thickBot="1" x14ac:dyDescent="0.3">
      <c r="C175" s="132"/>
      <c r="D175" s="133"/>
      <c r="E175" s="134"/>
      <c r="F175" s="134"/>
      <c r="G175" s="135" t="s">
        <v>386</v>
      </c>
      <c r="H175" s="136"/>
      <c r="I175" s="137"/>
    </row>
    <row r="176" spans="2:10" ht="15.95" customHeight="1" thickBot="1" x14ac:dyDescent="0.3">
      <c r="C176" s="147" t="s">
        <v>387</v>
      </c>
      <c r="D176" s="148" t="s">
        <v>388</v>
      </c>
      <c r="E176" s="149"/>
      <c r="F176" s="149"/>
      <c r="G176" s="150"/>
      <c r="H176" s="144">
        <f>IF(AND(D176&lt;&gt;"",F176&lt;&gt;""),IF(C176="",IF(F176="OH",VLOOKUP(D176,[1]UPAH!$B$3:$G$32,7,0),VLOOKUP(D176,[1]BAHAN!$A$2:$D$3,4,0)),0),0)</f>
        <v>0</v>
      </c>
      <c r="I176" s="126">
        <f>G176*H176</f>
        <v>0</v>
      </c>
    </row>
    <row r="177" spans="2:10" ht="15.95" customHeight="1" thickBot="1" x14ac:dyDescent="0.3">
      <c r="C177" s="132"/>
      <c r="D177" s="133"/>
      <c r="E177" s="134"/>
      <c r="F177" s="134"/>
      <c r="G177" s="135" t="s">
        <v>389</v>
      </c>
      <c r="H177" s="136"/>
      <c r="I177" s="137">
        <f>I176</f>
        <v>0</v>
      </c>
    </row>
    <row r="178" spans="2:10" ht="15.95" customHeight="1" x14ac:dyDescent="0.25">
      <c r="C178" s="158" t="s">
        <v>390</v>
      </c>
      <c r="D178" s="159" t="s">
        <v>391</v>
      </c>
      <c r="E178" s="160"/>
      <c r="F178" s="160"/>
      <c r="G178" s="161"/>
      <c r="H178" s="162">
        <f>IF(AND(D178&lt;&gt;"",F178&lt;&gt;""),IF(C178="",IF(F178="OH",VLOOKUP(D178,[1]UPAH!$B$3:$G$32,7,0),VLOOKUP(D178,[1]BAHAN!$A$2:$D$3,4,0)),0),0)</f>
        <v>0</v>
      </c>
      <c r="I178" s="126">
        <f>SUM(I171:I177)/2</f>
        <v>21000</v>
      </c>
    </row>
    <row r="179" spans="2:10" ht="15.95" customHeight="1" thickBot="1" x14ac:dyDescent="0.3">
      <c r="C179" s="147" t="s">
        <v>392</v>
      </c>
      <c r="D179" s="148" t="s">
        <v>393</v>
      </c>
      <c r="E179" s="149"/>
      <c r="F179" s="149"/>
      <c r="G179" s="164">
        <v>0.1</v>
      </c>
      <c r="H179" s="151"/>
      <c r="I179" s="146">
        <f>G179*I178</f>
        <v>2100</v>
      </c>
    </row>
    <row r="180" spans="2:10" ht="15.95" customHeight="1" thickBot="1" x14ac:dyDescent="0.3">
      <c r="C180" s="111" t="s">
        <v>394</v>
      </c>
      <c r="D180" s="112" t="s">
        <v>395</v>
      </c>
      <c r="E180" s="134"/>
      <c r="F180" s="134"/>
      <c r="G180" s="156"/>
      <c r="H180" s="136">
        <f>IF(AND(D180&lt;&gt;"",F180&lt;&gt;""),IF(C180="",IF(F180="OH",VLOOKUP(D180,[1]UPAH!$B$3:$G$32,7,0),VLOOKUP(D180,[1]BAHAN!$A$2:$D$3,4,0)),0),0)</f>
        <v>0</v>
      </c>
      <c r="I180" s="137">
        <f>ROUNDDOWN(I178+I179,0)</f>
        <v>23100</v>
      </c>
    </row>
    <row r="181" spans="2:10" ht="15.95" customHeight="1" x14ac:dyDescent="0.25">
      <c r="C181" s="109"/>
      <c r="G181" s="157"/>
    </row>
    <row r="182" spans="2:10" ht="15.95" customHeight="1" thickBot="1" x14ac:dyDescent="0.3">
      <c r="B182" s="104" t="s">
        <v>432</v>
      </c>
      <c r="C182" s="109" t="s">
        <v>433</v>
      </c>
      <c r="G182" s="157"/>
      <c r="J182" s="110">
        <f>I204</f>
        <v>2251846</v>
      </c>
    </row>
    <row r="183" spans="2:10" ht="15.95" customHeight="1" thickBot="1" x14ac:dyDescent="0.3">
      <c r="C183" s="111" t="s">
        <v>328</v>
      </c>
      <c r="D183" s="112" t="s">
        <v>359</v>
      </c>
      <c r="E183" s="113" t="s">
        <v>360</v>
      </c>
      <c r="F183" s="113" t="s">
        <v>330</v>
      </c>
      <c r="G183" s="114" t="s">
        <v>361</v>
      </c>
      <c r="H183" s="112" t="s">
        <v>362</v>
      </c>
      <c r="I183" s="115" t="s">
        <v>363</v>
      </c>
    </row>
    <row r="184" spans="2:10" ht="15.95" customHeight="1" x14ac:dyDescent="0.25">
      <c r="C184" s="158" t="s">
        <v>364</v>
      </c>
      <c r="D184" s="159" t="s">
        <v>365</v>
      </c>
      <c r="E184" s="160"/>
      <c r="F184" s="160"/>
      <c r="G184" s="161"/>
      <c r="H184" s="144"/>
      <c r="I184" s="126"/>
    </row>
    <row r="185" spans="2:10" ht="15.95" customHeight="1" x14ac:dyDescent="0.25">
      <c r="C185" s="122"/>
      <c r="D185" s="117" t="s">
        <v>366</v>
      </c>
      <c r="E185" s="123" t="s">
        <v>367</v>
      </c>
      <c r="F185" s="123" t="s">
        <v>368</v>
      </c>
      <c r="G185" s="124">
        <v>1</v>
      </c>
      <c r="H185" s="125">
        <f>VLOOKUP(D185,Upah,8,FALSE)</f>
        <v>125000</v>
      </c>
      <c r="I185" s="126">
        <f>G185*H185</f>
        <v>125000</v>
      </c>
    </row>
    <row r="186" spans="2:10" ht="15.95" customHeight="1" x14ac:dyDescent="0.25">
      <c r="C186" s="122"/>
      <c r="D186" s="117" t="s">
        <v>369</v>
      </c>
      <c r="E186" s="123" t="s">
        <v>370</v>
      </c>
      <c r="F186" s="123" t="s">
        <v>368</v>
      </c>
      <c r="G186" s="124">
        <v>2</v>
      </c>
      <c r="H186" s="125">
        <f>VLOOKUP(D186,Upah,8,FALSE)</f>
        <v>150000</v>
      </c>
      <c r="I186" s="126">
        <f>G186*H186</f>
        <v>300000</v>
      </c>
    </row>
    <row r="187" spans="2:10" ht="15.95" customHeight="1" x14ac:dyDescent="0.25">
      <c r="C187" s="122"/>
      <c r="D187" s="117" t="s">
        <v>371</v>
      </c>
      <c r="E187" s="123" t="s">
        <v>372</v>
      </c>
      <c r="F187" s="123" t="s">
        <v>368</v>
      </c>
      <c r="G187" s="124">
        <v>0.2</v>
      </c>
      <c r="H187" s="125">
        <f>VLOOKUP(D187,Upah,8,FALSE)</f>
        <v>165000</v>
      </c>
      <c r="I187" s="126">
        <f>G187*H187</f>
        <v>33000</v>
      </c>
    </row>
    <row r="188" spans="2:10" ht="15.95" customHeight="1" thickBot="1" x14ac:dyDescent="0.3">
      <c r="C188" s="127"/>
      <c r="D188" s="128" t="s">
        <v>373</v>
      </c>
      <c r="E188" s="129" t="s">
        <v>374</v>
      </c>
      <c r="F188" s="129" t="s">
        <v>368</v>
      </c>
      <c r="G188" s="130">
        <v>0.05</v>
      </c>
      <c r="H188" s="125">
        <f>VLOOKUP(D188,Upah,8,FALSE)</f>
        <v>170000</v>
      </c>
      <c r="I188" s="126">
        <f>G188*H188</f>
        <v>8500</v>
      </c>
    </row>
    <row r="189" spans="2:10" ht="15.95" customHeight="1" thickBot="1" x14ac:dyDescent="0.3">
      <c r="C189" s="132"/>
      <c r="D189" s="133"/>
      <c r="E189" s="134"/>
      <c r="F189" s="134"/>
      <c r="G189" s="135" t="s">
        <v>375</v>
      </c>
      <c r="H189" s="136"/>
      <c r="I189" s="137">
        <f>SUM(I185:I188)</f>
        <v>466500</v>
      </c>
    </row>
    <row r="190" spans="2:10" ht="15.95" customHeight="1" x14ac:dyDescent="0.25">
      <c r="C190" s="138" t="s">
        <v>376</v>
      </c>
      <c r="D190" s="139" t="s">
        <v>377</v>
      </c>
      <c r="E190" s="140"/>
      <c r="F190" s="140"/>
      <c r="G190" s="141"/>
      <c r="H190" s="144">
        <f>IF(AND(D190&lt;&gt;"",F190&lt;&gt;""),IF(C190="",IF(F190="OH",VLOOKUP(D190,[1]UPAH!$B$3:$G$32,7,0),VLOOKUP(D190,[1]BAHAN!$A$2:$D$3,4,0)),0),0)</f>
        <v>0</v>
      </c>
      <c r="I190" s="126"/>
    </row>
    <row r="191" spans="2:10" ht="15.95" customHeight="1" x14ac:dyDescent="0.25">
      <c r="C191" s="122"/>
      <c r="D191" s="117" t="s">
        <v>378</v>
      </c>
      <c r="E191" s="118"/>
      <c r="F191" s="123" t="s">
        <v>379</v>
      </c>
      <c r="G191" s="124">
        <v>1.25</v>
      </c>
      <c r="H191" s="144">
        <f t="shared" ref="H191:H198" si="10">VLOOKUP(D191,Bahan,6,FALSE)</f>
        <v>31250</v>
      </c>
      <c r="I191" s="126">
        <f t="shared" ref="I191:I198" si="11">G191*H191</f>
        <v>39062.5</v>
      </c>
    </row>
    <row r="192" spans="2:10" ht="15.95" customHeight="1" x14ac:dyDescent="0.25">
      <c r="C192" s="122"/>
      <c r="D192" s="117" t="s">
        <v>426</v>
      </c>
      <c r="E192" s="118"/>
      <c r="F192" s="123" t="s">
        <v>158</v>
      </c>
      <c r="G192" s="124">
        <v>0.186</v>
      </c>
      <c r="H192" s="144">
        <f t="shared" si="10"/>
        <v>6765000</v>
      </c>
      <c r="I192" s="126">
        <f t="shared" si="11"/>
        <v>1258290</v>
      </c>
    </row>
    <row r="193" spans="2:10" ht="15.95" customHeight="1" x14ac:dyDescent="0.25">
      <c r="C193" s="122"/>
      <c r="D193" s="117" t="s">
        <v>383</v>
      </c>
      <c r="E193" s="118"/>
      <c r="F193" s="123" t="s">
        <v>159</v>
      </c>
      <c r="G193" s="124">
        <v>0.3</v>
      </c>
      <c r="H193" s="144">
        <f t="shared" si="10"/>
        <v>27970</v>
      </c>
      <c r="I193" s="126">
        <f t="shared" si="11"/>
        <v>8391</v>
      </c>
    </row>
    <row r="194" spans="2:10" ht="15.95" customHeight="1" x14ac:dyDescent="0.25">
      <c r="C194" s="122"/>
      <c r="D194" s="117" t="s">
        <v>380</v>
      </c>
      <c r="E194" s="118"/>
      <c r="F194" s="123" t="s">
        <v>159</v>
      </c>
      <c r="G194" s="124">
        <v>18</v>
      </c>
      <c r="H194" s="144">
        <f t="shared" si="10"/>
        <v>1880</v>
      </c>
      <c r="I194" s="126">
        <f t="shared" si="11"/>
        <v>33840</v>
      </c>
    </row>
    <row r="195" spans="2:10" ht="15.95" customHeight="1" x14ac:dyDescent="0.25">
      <c r="C195" s="122"/>
      <c r="D195" s="117" t="s">
        <v>1919</v>
      </c>
      <c r="E195" s="118"/>
      <c r="F195" s="123" t="s">
        <v>158</v>
      </c>
      <c r="G195" s="124">
        <v>0.03</v>
      </c>
      <c r="H195" s="144">
        <f t="shared" si="10"/>
        <v>350000</v>
      </c>
      <c r="I195" s="126">
        <f t="shared" si="11"/>
        <v>10500</v>
      </c>
    </row>
    <row r="196" spans="2:10" ht="15.95" customHeight="1" x14ac:dyDescent="0.25">
      <c r="C196" s="122"/>
      <c r="D196" s="117" t="s">
        <v>381</v>
      </c>
      <c r="E196" s="118"/>
      <c r="F196" s="123" t="s">
        <v>158</v>
      </c>
      <c r="G196" s="124">
        <v>0.05</v>
      </c>
      <c r="H196" s="144">
        <f t="shared" si="10"/>
        <v>600000</v>
      </c>
      <c r="I196" s="126">
        <f t="shared" si="11"/>
        <v>30000</v>
      </c>
    </row>
    <row r="197" spans="2:10" ht="15.95" customHeight="1" x14ac:dyDescent="0.25">
      <c r="C197" s="122"/>
      <c r="D197" s="117" t="s">
        <v>398</v>
      </c>
      <c r="E197" s="118"/>
      <c r="F197" s="123" t="s">
        <v>399</v>
      </c>
      <c r="G197" s="124">
        <v>1.5</v>
      </c>
      <c r="H197" s="144">
        <f t="shared" si="10"/>
        <v>63500</v>
      </c>
      <c r="I197" s="126">
        <f t="shared" si="11"/>
        <v>95250</v>
      </c>
    </row>
    <row r="198" spans="2:10" ht="15.95" customHeight="1" thickBot="1" x14ac:dyDescent="0.3">
      <c r="C198" s="127"/>
      <c r="D198" s="128" t="s">
        <v>423</v>
      </c>
      <c r="E198" s="145"/>
      <c r="F198" s="129" t="s">
        <v>399</v>
      </c>
      <c r="G198" s="130">
        <v>1.35</v>
      </c>
      <c r="H198" s="144">
        <f t="shared" si="10"/>
        <v>78000</v>
      </c>
      <c r="I198" s="126">
        <f t="shared" si="11"/>
        <v>105300</v>
      </c>
    </row>
    <row r="199" spans="2:10" ht="15.95" customHeight="1" thickBot="1" x14ac:dyDescent="0.3">
      <c r="C199" s="132"/>
      <c r="D199" s="133"/>
      <c r="E199" s="134"/>
      <c r="F199" s="134"/>
      <c r="G199" s="135" t="s">
        <v>386</v>
      </c>
      <c r="H199" s="136"/>
      <c r="I199" s="137">
        <f>SUM(I191:I198)</f>
        <v>1580633.5</v>
      </c>
    </row>
    <row r="200" spans="2:10" ht="15.95" customHeight="1" thickBot="1" x14ac:dyDescent="0.3">
      <c r="C200" s="147" t="s">
        <v>387</v>
      </c>
      <c r="D200" s="148" t="s">
        <v>388</v>
      </c>
      <c r="E200" s="149"/>
      <c r="F200" s="149"/>
      <c r="G200" s="150"/>
      <c r="H200" s="144">
        <f>IF(AND(D200&lt;&gt;"",F200&lt;&gt;""),IF(C200="",IF(F200="OH",VLOOKUP(D200,[1]UPAH!$B$3:$G$32,7,0),VLOOKUP(D200,[1]BAHAN!$A$2:$D$3,4,0)),0),0)</f>
        <v>0</v>
      </c>
      <c r="I200" s="126">
        <f>G200*H200</f>
        <v>0</v>
      </c>
    </row>
    <row r="201" spans="2:10" ht="15.95" customHeight="1" thickBot="1" x14ac:dyDescent="0.3">
      <c r="C201" s="132"/>
      <c r="D201" s="133"/>
      <c r="E201" s="134"/>
      <c r="F201" s="134"/>
      <c r="G201" s="135" t="s">
        <v>389</v>
      </c>
      <c r="H201" s="136"/>
      <c r="I201" s="137">
        <f>I200</f>
        <v>0</v>
      </c>
    </row>
    <row r="202" spans="2:10" ht="15.95" customHeight="1" x14ac:dyDescent="0.25">
      <c r="C202" s="158" t="s">
        <v>390</v>
      </c>
      <c r="D202" s="159" t="s">
        <v>391</v>
      </c>
      <c r="E202" s="160"/>
      <c r="F202" s="160"/>
      <c r="G202" s="161"/>
      <c r="H202" s="162">
        <f>IF(AND(D202&lt;&gt;"",F202&lt;&gt;""),IF(C202="",IF(F202="OH",VLOOKUP(D202,[1]UPAH!$B$3:$G$32,7,0),VLOOKUP(D202,[1]BAHAN!$A$2:$D$3,4,0)),0),0)</f>
        <v>0</v>
      </c>
      <c r="I202" s="126">
        <f>SUM(I185:I201)/2</f>
        <v>2047133.5</v>
      </c>
    </row>
    <row r="203" spans="2:10" ht="15.95" customHeight="1" thickBot="1" x14ac:dyDescent="0.3">
      <c r="C203" s="147" t="s">
        <v>392</v>
      </c>
      <c r="D203" s="148" t="s">
        <v>393</v>
      </c>
      <c r="E203" s="149"/>
      <c r="F203" s="149"/>
      <c r="G203" s="164">
        <v>0.1</v>
      </c>
      <c r="H203" s="151"/>
      <c r="I203" s="146">
        <f>G203*I202</f>
        <v>204713.35</v>
      </c>
    </row>
    <row r="204" spans="2:10" ht="15.95" customHeight="1" thickBot="1" x14ac:dyDescent="0.3">
      <c r="C204" s="111" t="s">
        <v>394</v>
      </c>
      <c r="D204" s="112" t="s">
        <v>395</v>
      </c>
      <c r="E204" s="134"/>
      <c r="F204" s="134"/>
      <c r="G204" s="156"/>
      <c r="H204" s="136">
        <f>IF(AND(D204&lt;&gt;"",F204&lt;&gt;""),IF(C204="",IF(F204="OH",VLOOKUP(D204,[1]UPAH!$B$3:$G$32,7,0),VLOOKUP(D204,[1]BAHAN!$A$2:$D$3,4,0)),0),0)</f>
        <v>0</v>
      </c>
      <c r="I204" s="137">
        <f>ROUNDDOWN(I202+I203,0)</f>
        <v>2251846</v>
      </c>
    </row>
    <row r="205" spans="2:10" ht="15.95" customHeight="1" x14ac:dyDescent="0.25">
      <c r="C205" s="109"/>
      <c r="D205" s="109"/>
      <c r="G205" s="157"/>
    </row>
    <row r="206" spans="2:10" ht="15.95" customHeight="1" thickBot="1" x14ac:dyDescent="0.3">
      <c r="B206" s="104" t="s">
        <v>434</v>
      </c>
      <c r="C206" s="109" t="s">
        <v>435</v>
      </c>
      <c r="G206" s="157"/>
      <c r="J206" s="110">
        <f>I221</f>
        <v>244258</v>
      </c>
    </row>
    <row r="207" spans="2:10" ht="15.95" customHeight="1" thickBot="1" x14ac:dyDescent="0.3">
      <c r="C207" s="111" t="s">
        <v>328</v>
      </c>
      <c r="D207" s="112" t="s">
        <v>359</v>
      </c>
      <c r="E207" s="113" t="s">
        <v>360</v>
      </c>
      <c r="F207" s="113" t="s">
        <v>330</v>
      </c>
      <c r="G207" s="114" t="s">
        <v>361</v>
      </c>
      <c r="H207" s="112" t="s">
        <v>362</v>
      </c>
      <c r="I207" s="115" t="s">
        <v>363</v>
      </c>
    </row>
    <row r="208" spans="2:10" ht="15.95" customHeight="1" x14ac:dyDescent="0.25">
      <c r="C208" s="158" t="s">
        <v>364</v>
      </c>
      <c r="D208" s="159" t="s">
        <v>365</v>
      </c>
      <c r="E208" s="160"/>
      <c r="F208" s="160"/>
      <c r="G208" s="161"/>
      <c r="H208" s="144">
        <f>IF(AND(D208&lt;&gt;"",F208&lt;&gt;""),IF(C208="",IF(F208="OH",VLOOKUP(D208,[1]UPAH!$B$3:$G$32,7,0),VLOOKUP(D208,[1]BAHAN!$A$2:$D$3,4,0)),0),0)</f>
        <v>0</v>
      </c>
      <c r="I208" s="126">
        <f>G208*H208</f>
        <v>0</v>
      </c>
    </row>
    <row r="209" spans="2:10" ht="15.95" customHeight="1" x14ac:dyDescent="0.25">
      <c r="C209" s="122"/>
      <c r="D209" s="117" t="s">
        <v>369</v>
      </c>
      <c r="E209" s="123" t="s">
        <v>370</v>
      </c>
      <c r="F209" s="123" t="s">
        <v>368</v>
      </c>
      <c r="G209" s="124">
        <v>0.3</v>
      </c>
      <c r="H209" s="125">
        <f>VLOOKUP(D209,Upah,8,FALSE)</f>
        <v>150000</v>
      </c>
      <c r="I209" s="126">
        <f>G209*H209</f>
        <v>45000</v>
      </c>
    </row>
    <row r="210" spans="2:10" ht="15.95" customHeight="1" thickBot="1" x14ac:dyDescent="0.3">
      <c r="C210" s="127"/>
      <c r="D210" s="128" t="s">
        <v>371</v>
      </c>
      <c r="E210" s="129" t="s">
        <v>372</v>
      </c>
      <c r="F210" s="129" t="s">
        <v>368</v>
      </c>
      <c r="G210" s="130">
        <v>0.03</v>
      </c>
      <c r="H210" s="125">
        <f>VLOOKUP(D210,Upah,8,FALSE)</f>
        <v>165000</v>
      </c>
      <c r="I210" s="126">
        <f>G210*H210</f>
        <v>4950</v>
      </c>
    </row>
    <row r="211" spans="2:10" ht="15.95" customHeight="1" thickBot="1" x14ac:dyDescent="0.3">
      <c r="C211" s="132"/>
      <c r="D211" s="133"/>
      <c r="E211" s="134"/>
      <c r="F211" s="134"/>
      <c r="G211" s="135" t="s">
        <v>375</v>
      </c>
      <c r="H211" s="136"/>
      <c r="I211" s="137">
        <f>SUM(I208:I210)</f>
        <v>49950</v>
      </c>
    </row>
    <row r="212" spans="2:10" ht="15.95" customHeight="1" x14ac:dyDescent="0.25">
      <c r="C212" s="138" t="s">
        <v>376</v>
      </c>
      <c r="D212" s="139" t="s">
        <v>377</v>
      </c>
      <c r="E212" s="140"/>
      <c r="F212" s="140"/>
      <c r="G212" s="141"/>
      <c r="H212" s="144">
        <f>IF(AND(D212&lt;&gt;"",F212&lt;&gt;""),IF(C212="",IF(F212="OH",VLOOKUP(D212,[1]UPAH!$B$3:$G$32,7,0),VLOOKUP(D212,[1]BAHAN!$A$2:$D$3,4,0)),0),0)</f>
        <v>0</v>
      </c>
      <c r="I212" s="126">
        <f>G212*H212</f>
        <v>0</v>
      </c>
    </row>
    <row r="213" spans="2:10" ht="15.95" customHeight="1" x14ac:dyDescent="0.25">
      <c r="C213" s="122"/>
      <c r="D213" s="117" t="s">
        <v>436</v>
      </c>
      <c r="E213" s="118"/>
      <c r="F213" s="123" t="s">
        <v>158</v>
      </c>
      <c r="G213" s="124">
        <v>3.5999999999999997E-2</v>
      </c>
      <c r="H213" s="144">
        <f>VLOOKUP(D213,Bahan,6,FALSE)</f>
        <v>3175000</v>
      </c>
      <c r="I213" s="126">
        <f>G213*H213</f>
        <v>114299.99999999999</v>
      </c>
    </row>
    <row r="214" spans="2:10" ht="15.95" customHeight="1" x14ac:dyDescent="0.25">
      <c r="C214" s="122"/>
      <c r="D214" s="117" t="s">
        <v>437</v>
      </c>
      <c r="E214" s="118"/>
      <c r="F214" s="123" t="s">
        <v>158</v>
      </c>
      <c r="G214" s="165">
        <v>2.1000000000000001E-2</v>
      </c>
      <c r="H214" s="144">
        <f>VLOOKUP(D214,Bahan,6,FALSE)</f>
        <v>2646000</v>
      </c>
      <c r="I214" s="126">
        <f>G214*H214</f>
        <v>55566</v>
      </c>
    </row>
    <row r="215" spans="2:10" ht="15.95" customHeight="1" thickBot="1" x14ac:dyDescent="0.3">
      <c r="C215" s="127"/>
      <c r="D215" s="128" t="s">
        <v>383</v>
      </c>
      <c r="E215" s="145"/>
      <c r="F215" s="129" t="s">
        <v>133</v>
      </c>
      <c r="G215" s="130">
        <v>0.08</v>
      </c>
      <c r="H215" s="144">
        <f>VLOOKUP(D215,Bahan,6,FALSE)</f>
        <v>27970</v>
      </c>
      <c r="I215" s="126">
        <f>G215*H215</f>
        <v>2237.6</v>
      </c>
    </row>
    <row r="216" spans="2:10" ht="15.95" customHeight="1" thickBot="1" x14ac:dyDescent="0.3">
      <c r="C216" s="132"/>
      <c r="D216" s="133"/>
      <c r="E216" s="134"/>
      <c r="F216" s="134"/>
      <c r="G216" s="135" t="s">
        <v>386</v>
      </c>
      <c r="H216" s="136"/>
      <c r="I216" s="137">
        <f>SUM(I213:I215)</f>
        <v>172103.6</v>
      </c>
    </row>
    <row r="217" spans="2:10" ht="15.95" customHeight="1" thickBot="1" x14ac:dyDescent="0.3">
      <c r="C217" s="147" t="s">
        <v>387</v>
      </c>
      <c r="D217" s="148" t="s">
        <v>388</v>
      </c>
      <c r="E217" s="149"/>
      <c r="F217" s="149"/>
      <c r="G217" s="150"/>
      <c r="H217" s="144">
        <f>IF(AND(D217&lt;&gt;"",F217&lt;&gt;""),IF(C217="",IF(F217="OH",VLOOKUP(D217,[1]UPAH!$B$3:$G$32,7,0),VLOOKUP(D217,[1]BAHAN!$A$2:$D$3,4,0)),0),0)</f>
        <v>0</v>
      </c>
      <c r="I217" s="126">
        <f>G217*H217</f>
        <v>0</v>
      </c>
    </row>
    <row r="218" spans="2:10" ht="15.95" customHeight="1" thickBot="1" x14ac:dyDescent="0.3">
      <c r="C218" s="132"/>
      <c r="D218" s="133"/>
      <c r="E218" s="134"/>
      <c r="F218" s="134"/>
      <c r="G218" s="135" t="s">
        <v>389</v>
      </c>
      <c r="H218" s="136"/>
      <c r="I218" s="137">
        <f>I217</f>
        <v>0</v>
      </c>
    </row>
    <row r="219" spans="2:10" ht="15.95" customHeight="1" x14ac:dyDescent="0.25">
      <c r="C219" s="158" t="s">
        <v>390</v>
      </c>
      <c r="D219" s="159" t="s">
        <v>391</v>
      </c>
      <c r="E219" s="160"/>
      <c r="F219" s="160"/>
      <c r="G219" s="161"/>
      <c r="H219" s="162">
        <f>IF(AND(D219&lt;&gt;"",F219&lt;&gt;""),IF(C219="",IF(F219="OH",VLOOKUP(D219,[1]UPAH!$B$3:$G$32,7,0),VLOOKUP(D219,[1]BAHAN!$A$2:$D$3,4,0)),0),0)</f>
        <v>0</v>
      </c>
      <c r="I219" s="126">
        <f>SUM(I209:I218)/2</f>
        <v>222053.59999999998</v>
      </c>
    </row>
    <row r="220" spans="2:10" ht="15.95" customHeight="1" thickBot="1" x14ac:dyDescent="0.3">
      <c r="C220" s="147" t="s">
        <v>392</v>
      </c>
      <c r="D220" s="148" t="s">
        <v>393</v>
      </c>
      <c r="E220" s="149"/>
      <c r="F220" s="149"/>
      <c r="G220" s="164">
        <v>0.1</v>
      </c>
      <c r="H220" s="151"/>
      <c r="I220" s="146">
        <f>G220*I219</f>
        <v>22205.360000000001</v>
      </c>
    </row>
    <row r="221" spans="2:10" ht="15.95" customHeight="1" thickBot="1" x14ac:dyDescent="0.3">
      <c r="C221" s="111" t="s">
        <v>394</v>
      </c>
      <c r="D221" s="112" t="s">
        <v>395</v>
      </c>
      <c r="E221" s="134"/>
      <c r="F221" s="134"/>
      <c r="G221" s="156"/>
      <c r="H221" s="136">
        <f>IF(AND(D221&lt;&gt;"",F221&lt;&gt;""),IF(C221="",IF(F221="OH",VLOOKUP(D221,[1]UPAH!$B$3:$G$32,7,0),VLOOKUP(D221,[1]BAHAN!$A$2:$D$3,4,0)),0),0)</f>
        <v>0</v>
      </c>
      <c r="I221" s="137">
        <f>ROUNDDOWN(I219+I220,0)</f>
        <v>244258</v>
      </c>
    </row>
    <row r="222" spans="2:10" ht="15.95" customHeight="1" x14ac:dyDescent="0.25">
      <c r="C222" s="109"/>
      <c r="D222" s="109"/>
      <c r="G222" s="157"/>
      <c r="H222" s="166"/>
      <c r="I222" s="110"/>
    </row>
    <row r="223" spans="2:10" ht="15.95" customHeight="1" thickBot="1" x14ac:dyDescent="0.3">
      <c r="B223" s="104" t="s">
        <v>438</v>
      </c>
      <c r="C223" s="109" t="s">
        <v>439</v>
      </c>
      <c r="D223" s="109"/>
      <c r="G223" s="157"/>
      <c r="J223" s="110">
        <f>I239</f>
        <v>548811</v>
      </c>
    </row>
    <row r="224" spans="2:10" ht="15.95" customHeight="1" thickBot="1" x14ac:dyDescent="0.3">
      <c r="C224" s="111" t="s">
        <v>328</v>
      </c>
      <c r="D224" s="112" t="s">
        <v>359</v>
      </c>
      <c r="E224" s="113" t="s">
        <v>360</v>
      </c>
      <c r="F224" s="113" t="s">
        <v>330</v>
      </c>
      <c r="G224" s="114" t="s">
        <v>361</v>
      </c>
      <c r="H224" s="112" t="s">
        <v>362</v>
      </c>
      <c r="I224" s="115" t="s">
        <v>363</v>
      </c>
    </row>
    <row r="225" spans="3:9" ht="15.95" customHeight="1" x14ac:dyDescent="0.25">
      <c r="C225" s="116" t="s">
        <v>364</v>
      </c>
      <c r="D225" s="117" t="s">
        <v>365</v>
      </c>
      <c r="E225" s="118"/>
      <c r="F225" s="118"/>
      <c r="G225" s="165"/>
      <c r="H225" s="144"/>
      <c r="I225" s="126"/>
    </row>
    <row r="226" spans="3:9" ht="15.95" customHeight="1" x14ac:dyDescent="0.25">
      <c r="C226" s="122"/>
      <c r="D226" s="117" t="s">
        <v>366</v>
      </c>
      <c r="E226" s="123" t="s">
        <v>367</v>
      </c>
      <c r="F226" s="123" t="s">
        <v>368</v>
      </c>
      <c r="G226" s="124">
        <v>1</v>
      </c>
      <c r="H226" s="125">
        <f>VLOOKUP(D226,Upah,8,FALSE)</f>
        <v>125000</v>
      </c>
      <c r="I226" s="126">
        <f>G226*H226</f>
        <v>125000</v>
      </c>
    </row>
    <row r="227" spans="3:9" ht="15.95" customHeight="1" x14ac:dyDescent="0.25">
      <c r="C227" s="122"/>
      <c r="D227" s="117" t="s">
        <v>369</v>
      </c>
      <c r="E227" s="123" t="s">
        <v>370</v>
      </c>
      <c r="F227" s="123" t="s">
        <v>368</v>
      </c>
      <c r="G227" s="124">
        <v>2</v>
      </c>
      <c r="H227" s="125">
        <f>VLOOKUP(D227,Upah,8,FALSE)</f>
        <v>150000</v>
      </c>
      <c r="I227" s="126">
        <f>G227*H227</f>
        <v>300000</v>
      </c>
    </row>
    <row r="228" spans="3:9" ht="15.95" customHeight="1" x14ac:dyDescent="0.25">
      <c r="C228" s="122"/>
      <c r="D228" s="117" t="s">
        <v>371</v>
      </c>
      <c r="E228" s="123" t="s">
        <v>372</v>
      </c>
      <c r="F228" s="123" t="s">
        <v>368</v>
      </c>
      <c r="G228" s="124">
        <v>0.2</v>
      </c>
      <c r="H228" s="125">
        <f>VLOOKUP(D228,Upah,8,FALSE)</f>
        <v>165000</v>
      </c>
      <c r="I228" s="126">
        <f>G228*H228</f>
        <v>33000</v>
      </c>
    </row>
    <row r="229" spans="3:9" ht="15.95" customHeight="1" thickBot="1" x14ac:dyDescent="0.3">
      <c r="C229" s="127"/>
      <c r="D229" s="128" t="s">
        <v>373</v>
      </c>
      <c r="E229" s="129" t="s">
        <v>374</v>
      </c>
      <c r="F229" s="129" t="s">
        <v>368</v>
      </c>
      <c r="G229" s="130">
        <v>0.05</v>
      </c>
      <c r="H229" s="125">
        <f>VLOOKUP(D229,Upah,8,FALSE)</f>
        <v>170000</v>
      </c>
      <c r="I229" s="126">
        <f>G229*H229</f>
        <v>8500</v>
      </c>
    </row>
    <row r="230" spans="3:9" ht="15.95" customHeight="1" thickBot="1" x14ac:dyDescent="0.3">
      <c r="C230" s="132"/>
      <c r="D230" s="133"/>
      <c r="E230" s="134"/>
      <c r="F230" s="134"/>
      <c r="G230" s="135" t="s">
        <v>375</v>
      </c>
      <c r="H230" s="136"/>
      <c r="I230" s="137">
        <f>SUM(I226:I229)</f>
        <v>466500</v>
      </c>
    </row>
    <row r="231" spans="3:9" ht="15.95" customHeight="1" x14ac:dyDescent="0.25">
      <c r="C231" s="138" t="s">
        <v>376</v>
      </c>
      <c r="D231" s="139" t="s">
        <v>377</v>
      </c>
      <c r="E231" s="140"/>
      <c r="F231" s="140"/>
      <c r="G231" s="141"/>
      <c r="H231" s="144"/>
      <c r="I231" s="126"/>
    </row>
    <row r="232" spans="3:9" ht="15.95" customHeight="1" x14ac:dyDescent="0.25">
      <c r="C232" s="122"/>
      <c r="D232" s="117" t="s">
        <v>440</v>
      </c>
      <c r="E232" s="118"/>
      <c r="F232" s="123" t="s">
        <v>379</v>
      </c>
      <c r="G232" s="124">
        <v>1.25</v>
      </c>
      <c r="H232" s="144">
        <f>VLOOKUP(D232,Bahan,6,FALSE)</f>
        <v>22140</v>
      </c>
      <c r="I232" s="126">
        <f>G232*H232</f>
        <v>27675</v>
      </c>
    </row>
    <row r="233" spans="3:9" ht="15.95" customHeight="1" thickBot="1" x14ac:dyDescent="0.3">
      <c r="C233" s="127"/>
      <c r="D233" s="128" t="s">
        <v>441</v>
      </c>
      <c r="E233" s="145"/>
      <c r="F233" s="129" t="s">
        <v>159</v>
      </c>
      <c r="G233" s="130">
        <v>0.186</v>
      </c>
      <c r="H233" s="144">
        <f>VLOOKUP(D233,Bahan,6,FALSE)</f>
        <v>25510</v>
      </c>
      <c r="I233" s="126">
        <f>G233*H233</f>
        <v>4744.8599999999997</v>
      </c>
    </row>
    <row r="234" spans="3:9" ht="15.95" customHeight="1" thickBot="1" x14ac:dyDescent="0.3">
      <c r="C234" s="132"/>
      <c r="D234" s="133"/>
      <c r="E234" s="134"/>
      <c r="F234" s="134"/>
      <c r="G234" s="135" t="s">
        <v>386</v>
      </c>
      <c r="H234" s="136"/>
      <c r="I234" s="137">
        <f>SUM(I231:I233)</f>
        <v>32419.86</v>
      </c>
    </row>
    <row r="235" spans="3:9" ht="15.95" customHeight="1" thickBot="1" x14ac:dyDescent="0.3">
      <c r="C235" s="147" t="s">
        <v>387</v>
      </c>
      <c r="D235" s="148" t="s">
        <v>388</v>
      </c>
      <c r="E235" s="149"/>
      <c r="F235" s="149"/>
      <c r="G235" s="150"/>
      <c r="H235" s="144">
        <f>IF(AND(D235&lt;&gt;"",F235&lt;&gt;""),IF(C235="",IF(F235="OH",VLOOKUP(D235,[1]UPAH!$B$3:$G$32,7,0),VLOOKUP(D235,[1]BAHAN!$A$2:$D$3,4,0)),0),0)</f>
        <v>0</v>
      </c>
      <c r="I235" s="126">
        <f>G235*H235</f>
        <v>0</v>
      </c>
    </row>
    <row r="236" spans="3:9" ht="15.95" customHeight="1" thickBot="1" x14ac:dyDescent="0.3">
      <c r="C236" s="132"/>
      <c r="D236" s="133"/>
      <c r="E236" s="134"/>
      <c r="F236" s="134"/>
      <c r="G236" s="135" t="s">
        <v>389</v>
      </c>
      <c r="H236" s="136"/>
      <c r="I236" s="137">
        <f>I235</f>
        <v>0</v>
      </c>
    </row>
    <row r="237" spans="3:9" ht="15.95" customHeight="1" x14ac:dyDescent="0.25">
      <c r="C237" s="158" t="s">
        <v>390</v>
      </c>
      <c r="D237" s="159" t="s">
        <v>391</v>
      </c>
      <c r="E237" s="160"/>
      <c r="F237" s="160"/>
      <c r="G237" s="161"/>
      <c r="H237" s="162">
        <f>IF(AND(D237&lt;&gt;"",F237&lt;&gt;""),IF(C237="",IF(F237="OH",VLOOKUP(D237,[1]UPAH!$B$3:$G$32,7,0),VLOOKUP(D237,[1]BAHAN!$A$2:$D$3,4,0)),0),0)</f>
        <v>0</v>
      </c>
      <c r="I237" s="126">
        <f>SUM(I226:I236)/2</f>
        <v>498919.86</v>
      </c>
    </row>
    <row r="238" spans="3:9" ht="15.95" customHeight="1" thickBot="1" x14ac:dyDescent="0.3">
      <c r="C238" s="147" t="s">
        <v>392</v>
      </c>
      <c r="D238" s="148" t="s">
        <v>393</v>
      </c>
      <c r="E238" s="149"/>
      <c r="F238" s="149"/>
      <c r="G238" s="164">
        <v>0.1</v>
      </c>
      <c r="H238" s="151"/>
      <c r="I238" s="146">
        <f>G238*I237</f>
        <v>49891.986000000004</v>
      </c>
    </row>
    <row r="239" spans="3:9" ht="15.95" customHeight="1" thickBot="1" x14ac:dyDescent="0.3">
      <c r="C239" s="111" t="s">
        <v>394</v>
      </c>
      <c r="D239" s="112" t="s">
        <v>395</v>
      </c>
      <c r="E239" s="134"/>
      <c r="F239" s="134"/>
      <c r="G239" s="156"/>
      <c r="H239" s="136">
        <f>IF(AND(D239&lt;&gt;"",F239&lt;&gt;""),IF(C239="",IF(F239="OH",VLOOKUP(D239,[1]UPAH!$B$3:$G$32,7,0),VLOOKUP(D239,[1]BAHAN!$A$2:$D$3,4,0)),0),0)</f>
        <v>0</v>
      </c>
      <c r="I239" s="137">
        <f>ROUNDDOWN(I237+I238,0)</f>
        <v>548811</v>
      </c>
    </row>
    <row r="241" spans="2:10" ht="15.95" customHeight="1" thickBot="1" x14ac:dyDescent="0.3">
      <c r="B241" s="104" t="s">
        <v>442</v>
      </c>
      <c r="C241" s="109" t="s">
        <v>443</v>
      </c>
      <c r="G241" s="157"/>
      <c r="J241" s="110">
        <f>I256</f>
        <v>251658</v>
      </c>
    </row>
    <row r="242" spans="2:10" ht="15.95" customHeight="1" thickBot="1" x14ac:dyDescent="0.3">
      <c r="C242" s="111" t="s">
        <v>328</v>
      </c>
      <c r="D242" s="112" t="s">
        <v>359</v>
      </c>
      <c r="E242" s="113" t="s">
        <v>360</v>
      </c>
      <c r="F242" s="113" t="s">
        <v>330</v>
      </c>
      <c r="G242" s="114" t="s">
        <v>361</v>
      </c>
      <c r="H242" s="112" t="s">
        <v>362</v>
      </c>
      <c r="I242" s="115" t="s">
        <v>363</v>
      </c>
    </row>
    <row r="243" spans="2:10" ht="15.95" customHeight="1" x14ac:dyDescent="0.25">
      <c r="C243" s="116" t="s">
        <v>364</v>
      </c>
      <c r="D243" s="117" t="s">
        <v>365</v>
      </c>
      <c r="E243" s="118"/>
      <c r="F243" s="118"/>
      <c r="G243" s="165"/>
      <c r="H243" s="144">
        <f>IF(AND(D243&lt;&gt;"",F243&lt;&gt;""),IF(C243="",IF(F243="OH",VLOOKUP(D243,[1]UPAH!$B$3:$G$32,7,0),VLOOKUP(D243,[1]BAHAN!$A$2:$D$3,4,0)),0),0)</f>
        <v>0</v>
      </c>
      <c r="I243" s="126">
        <f>G243*H243</f>
        <v>0</v>
      </c>
    </row>
    <row r="244" spans="2:10" ht="15.95" customHeight="1" x14ac:dyDescent="0.25">
      <c r="C244" s="122"/>
      <c r="D244" s="117" t="s">
        <v>366</v>
      </c>
      <c r="E244" s="123" t="s">
        <v>367</v>
      </c>
      <c r="F244" s="123" t="s">
        <v>368</v>
      </c>
      <c r="G244" s="124">
        <v>1</v>
      </c>
      <c r="H244" s="125">
        <f>VLOOKUP(D244,Upah,8,FALSE)</f>
        <v>125000</v>
      </c>
      <c r="I244" s="126">
        <f>G244*H244</f>
        <v>125000</v>
      </c>
    </row>
    <row r="245" spans="2:10" ht="15.95" customHeight="1" thickBot="1" x14ac:dyDescent="0.3">
      <c r="C245" s="127"/>
      <c r="D245" s="128" t="s">
        <v>373</v>
      </c>
      <c r="E245" s="129" t="s">
        <v>374</v>
      </c>
      <c r="F245" s="129" t="s">
        <v>368</v>
      </c>
      <c r="G245" s="130">
        <v>5.0000000000000001E-3</v>
      </c>
      <c r="H245" s="125">
        <f>VLOOKUP(D245,Upah,8,FALSE)</f>
        <v>170000</v>
      </c>
      <c r="I245" s="126">
        <f>G245*H245</f>
        <v>850</v>
      </c>
    </row>
    <row r="246" spans="2:10" ht="15.95" customHeight="1" thickBot="1" x14ac:dyDescent="0.3">
      <c r="C246" s="132"/>
      <c r="D246" s="133"/>
      <c r="E246" s="134"/>
      <c r="F246" s="134"/>
      <c r="G246" s="135" t="s">
        <v>375</v>
      </c>
      <c r="H246" s="136"/>
      <c r="I246" s="137">
        <f>SUM(I243:I245)</f>
        <v>125850</v>
      </c>
    </row>
    <row r="247" spans="2:10" ht="15.95" customHeight="1" x14ac:dyDescent="0.25">
      <c r="C247" s="138" t="s">
        <v>376</v>
      </c>
      <c r="D247" s="139" t="s">
        <v>377</v>
      </c>
      <c r="E247" s="140"/>
      <c r="F247" s="140"/>
      <c r="G247" s="141"/>
      <c r="H247" s="144">
        <f>IF(AND(D247&lt;&gt;"",F247&lt;&gt;""),IF(C247="",IF(F247="OH",VLOOKUP(D247,[1]UPAH!$B$3:$G$32,7,0),VLOOKUP(D247,[1]BAHAN!$A$2:$D$3,4,0)),0),0)</f>
        <v>0</v>
      </c>
      <c r="I247" s="126">
        <f>G247*H247</f>
        <v>0</v>
      </c>
    </row>
    <row r="248" spans="2:10" ht="15.95" customHeight="1" x14ac:dyDescent="0.25">
      <c r="C248" s="122"/>
      <c r="D248" s="117" t="s">
        <v>444</v>
      </c>
      <c r="E248" s="118"/>
      <c r="F248" s="123" t="s">
        <v>158</v>
      </c>
      <c r="G248" s="124">
        <v>0.15</v>
      </c>
      <c r="H248" s="144">
        <f>VLOOKUP(D248,Bahan,6,FALSE)</f>
        <v>421500</v>
      </c>
      <c r="I248" s="126">
        <f>G248*H248</f>
        <v>63225</v>
      </c>
    </row>
    <row r="249" spans="2:10" ht="15.95" customHeight="1" x14ac:dyDescent="0.25">
      <c r="C249" s="122"/>
      <c r="D249" s="117" t="s">
        <v>445</v>
      </c>
      <c r="E249" s="118"/>
      <c r="F249" s="123" t="s">
        <v>158</v>
      </c>
      <c r="G249" s="124">
        <v>0.09</v>
      </c>
      <c r="H249" s="144">
        <f>VLOOKUP(D249,Bahan,6,FALSE)</f>
        <v>413000</v>
      </c>
      <c r="I249" s="126">
        <f>G249*H249</f>
        <v>37170</v>
      </c>
    </row>
    <row r="250" spans="2:10" ht="15.95" customHeight="1" thickBot="1" x14ac:dyDescent="0.3">
      <c r="C250" s="127"/>
      <c r="D250" s="128" t="s">
        <v>416</v>
      </c>
      <c r="E250" s="145"/>
      <c r="F250" s="129" t="s">
        <v>158</v>
      </c>
      <c r="G250" s="130">
        <v>0.01</v>
      </c>
      <c r="H250" s="144">
        <f>VLOOKUP(D250,Bahan,6,FALSE)</f>
        <v>253510</v>
      </c>
      <c r="I250" s="126">
        <f>G250*H250</f>
        <v>2535.1</v>
      </c>
    </row>
    <row r="251" spans="2:10" ht="15.95" customHeight="1" thickBot="1" x14ac:dyDescent="0.3">
      <c r="C251" s="132"/>
      <c r="D251" s="133"/>
      <c r="E251" s="134"/>
      <c r="F251" s="134"/>
      <c r="G251" s="135" t="s">
        <v>386</v>
      </c>
      <c r="H251" s="136"/>
      <c r="I251" s="137">
        <f>SUM(I248:I250)</f>
        <v>102930.1</v>
      </c>
    </row>
    <row r="252" spans="2:10" ht="15.95" customHeight="1" thickBot="1" x14ac:dyDescent="0.3">
      <c r="C252" s="147" t="s">
        <v>387</v>
      </c>
      <c r="D252" s="148" t="s">
        <v>388</v>
      </c>
      <c r="E252" s="149"/>
      <c r="F252" s="149"/>
      <c r="G252" s="150"/>
      <c r="H252" s="144">
        <f>IF(AND(D252&lt;&gt;"",F252&lt;&gt;""),IF(C252="",IF(F252="OH",VLOOKUP(D252,[1]UPAH!$B$3:$G$32,7,0),VLOOKUP(D252,[1]BAHAN!$A$2:$D$3,4,0)),0),0)</f>
        <v>0</v>
      </c>
      <c r="I252" s="126">
        <f>G252*H252</f>
        <v>0</v>
      </c>
    </row>
    <row r="253" spans="2:10" ht="15.95" customHeight="1" thickBot="1" x14ac:dyDescent="0.3">
      <c r="C253" s="132"/>
      <c r="D253" s="133"/>
      <c r="E253" s="134"/>
      <c r="F253" s="134"/>
      <c r="G253" s="135" t="s">
        <v>389</v>
      </c>
      <c r="H253" s="136"/>
      <c r="I253" s="137">
        <f>I252</f>
        <v>0</v>
      </c>
    </row>
    <row r="254" spans="2:10" ht="15.95" customHeight="1" x14ac:dyDescent="0.25">
      <c r="C254" s="158" t="s">
        <v>390</v>
      </c>
      <c r="D254" s="159" t="s">
        <v>391</v>
      </c>
      <c r="E254" s="160"/>
      <c r="F254" s="160"/>
      <c r="G254" s="161"/>
      <c r="H254" s="162">
        <f>IF(AND(D254&lt;&gt;"",F254&lt;&gt;""),IF(C254="",IF(F254="OH",VLOOKUP(D254,[1]UPAH!$B$3:$G$32,7,0),VLOOKUP(D254,[1]BAHAN!$A$2:$D$3,4,0)),0),0)</f>
        <v>0</v>
      </c>
      <c r="I254" s="126">
        <f>SUM(I244:I253)/2</f>
        <v>228780.09999999998</v>
      </c>
    </row>
    <row r="255" spans="2:10" ht="15.95" customHeight="1" thickBot="1" x14ac:dyDescent="0.3">
      <c r="C255" s="147" t="s">
        <v>392</v>
      </c>
      <c r="D255" s="148" t="s">
        <v>393</v>
      </c>
      <c r="E255" s="149"/>
      <c r="F255" s="149"/>
      <c r="G255" s="164">
        <v>0.1</v>
      </c>
      <c r="H255" s="151"/>
      <c r="I255" s="146">
        <f>G255*I254</f>
        <v>22878.01</v>
      </c>
    </row>
    <row r="256" spans="2:10" ht="15.95" customHeight="1" thickBot="1" x14ac:dyDescent="0.3">
      <c r="C256" s="111" t="s">
        <v>394</v>
      </c>
      <c r="D256" s="112" t="s">
        <v>395</v>
      </c>
      <c r="E256" s="134"/>
      <c r="F256" s="134"/>
      <c r="G256" s="156"/>
      <c r="H256" s="136">
        <f>IF(AND(D256&lt;&gt;"",F256&lt;&gt;""),IF(C256="",IF(F256="OH",VLOOKUP(D256,[1]UPAH!$B$3:$G$32,7,0),VLOOKUP(D256,[1]BAHAN!$A$2:$D$3,4,0)),0),0)</f>
        <v>0</v>
      </c>
      <c r="I256" s="137">
        <f>ROUNDDOWN(I254+I255,0)</f>
        <v>251658</v>
      </c>
    </row>
    <row r="257" spans="2:10" ht="15.95" customHeight="1" x14ac:dyDescent="0.25">
      <c r="C257" s="109"/>
      <c r="D257" s="109"/>
      <c r="G257" s="157"/>
    </row>
    <row r="258" spans="2:10" ht="15.95" customHeight="1" thickBot="1" x14ac:dyDescent="0.3">
      <c r="B258" s="104" t="s">
        <v>446</v>
      </c>
      <c r="C258" s="109" t="s">
        <v>447</v>
      </c>
      <c r="G258" s="157"/>
      <c r="J258" s="110">
        <f>I271</f>
        <v>331644</v>
      </c>
    </row>
    <row r="259" spans="2:10" ht="15.95" customHeight="1" thickBot="1" x14ac:dyDescent="0.3">
      <c r="C259" s="111" t="s">
        <v>328</v>
      </c>
      <c r="D259" s="112" t="s">
        <v>359</v>
      </c>
      <c r="E259" s="113" t="s">
        <v>360</v>
      </c>
      <c r="F259" s="113" t="s">
        <v>330</v>
      </c>
      <c r="G259" s="114" t="s">
        <v>361</v>
      </c>
      <c r="H259" s="112" t="s">
        <v>362</v>
      </c>
      <c r="I259" s="115" t="s">
        <v>363</v>
      </c>
    </row>
    <row r="260" spans="2:10" ht="15.95" customHeight="1" x14ac:dyDescent="0.25">
      <c r="C260" s="158" t="s">
        <v>364</v>
      </c>
      <c r="D260" s="159" t="s">
        <v>365</v>
      </c>
      <c r="E260" s="160"/>
      <c r="F260" s="160"/>
      <c r="G260" s="161"/>
      <c r="H260" s="144"/>
      <c r="I260" s="126"/>
    </row>
    <row r="261" spans="2:10" ht="15.95" customHeight="1" x14ac:dyDescent="0.25">
      <c r="C261" s="122"/>
      <c r="D261" s="117" t="s">
        <v>366</v>
      </c>
      <c r="E261" s="123" t="s">
        <v>367</v>
      </c>
      <c r="F261" s="123" t="s">
        <v>368</v>
      </c>
      <c r="G261" s="124">
        <v>1.3333999999999999</v>
      </c>
      <c r="H261" s="125">
        <f>VLOOKUP(D261,Upah,8,FALSE)</f>
        <v>125000</v>
      </c>
      <c r="I261" s="126">
        <f>G261*H261</f>
        <v>166675</v>
      </c>
    </row>
    <row r="262" spans="2:10" ht="15.95" customHeight="1" thickBot="1" x14ac:dyDescent="0.3">
      <c r="C262" s="127"/>
      <c r="D262" s="128" t="s">
        <v>373</v>
      </c>
      <c r="E262" s="129" t="s">
        <v>374</v>
      </c>
      <c r="F262" s="129" t="s">
        <v>368</v>
      </c>
      <c r="G262" s="130">
        <v>0.66600000000000004</v>
      </c>
      <c r="H262" s="125">
        <f>VLOOKUP(D262,Upah,8,FALSE)</f>
        <v>170000</v>
      </c>
      <c r="I262" s="126">
        <f>G262*H262</f>
        <v>113220</v>
      </c>
    </row>
    <row r="263" spans="2:10" ht="15.95" customHeight="1" thickBot="1" x14ac:dyDescent="0.3">
      <c r="C263" s="132"/>
      <c r="D263" s="133"/>
      <c r="E263" s="134"/>
      <c r="F263" s="134"/>
      <c r="G263" s="135" t="s">
        <v>375</v>
      </c>
      <c r="H263" s="136"/>
      <c r="I263" s="137">
        <f>SUM(I260:I262)</f>
        <v>279895</v>
      </c>
    </row>
    <row r="264" spans="2:10" ht="15.95" customHeight="1" thickBot="1" x14ac:dyDescent="0.3">
      <c r="C264" s="147" t="s">
        <v>376</v>
      </c>
      <c r="D264" s="148" t="s">
        <v>377</v>
      </c>
      <c r="E264" s="149"/>
      <c r="F264" s="149"/>
      <c r="G264" s="150"/>
      <c r="H264" s="144">
        <f>IF(AND(D264&lt;&gt;"",F264&lt;&gt;""),IF(C264="",IF(F264="OH",VLOOKUP(D264,[1]UPAH!$B$3:$G$32,7,0),VLOOKUP(D264,[1]BAHAN!$A$2:$D$3,4,0)),0),0)</f>
        <v>0</v>
      </c>
      <c r="I264" s="126">
        <f>G264*H264</f>
        <v>0</v>
      </c>
    </row>
    <row r="265" spans="2:10" ht="15.95" customHeight="1" thickBot="1" x14ac:dyDescent="0.3">
      <c r="C265" s="132"/>
      <c r="D265" s="133"/>
      <c r="E265" s="134"/>
      <c r="F265" s="134"/>
      <c r="G265" s="135" t="s">
        <v>386</v>
      </c>
      <c r="H265" s="136"/>
      <c r="I265" s="137">
        <f>SUM(I264)</f>
        <v>0</v>
      </c>
    </row>
    <row r="266" spans="2:10" ht="15.95" customHeight="1" x14ac:dyDescent="0.25">
      <c r="C266" s="158" t="s">
        <v>387</v>
      </c>
      <c r="D266" s="159" t="s">
        <v>388</v>
      </c>
      <c r="E266" s="160" t="s">
        <v>448</v>
      </c>
      <c r="F266" s="160"/>
      <c r="G266" s="161"/>
      <c r="H266" s="144"/>
      <c r="I266" s="126"/>
    </row>
    <row r="267" spans="2:10" ht="15.95" customHeight="1" thickBot="1" x14ac:dyDescent="0.3">
      <c r="C267" s="147"/>
      <c r="D267" s="148" t="s">
        <v>449</v>
      </c>
      <c r="E267" s="149"/>
      <c r="F267" s="149" t="s">
        <v>450</v>
      </c>
      <c r="G267" s="150">
        <v>0.16</v>
      </c>
      <c r="H267" s="144">
        <v>135000</v>
      </c>
      <c r="I267" s="126">
        <f>G267*H267</f>
        <v>21600</v>
      </c>
    </row>
    <row r="268" spans="2:10" ht="15.95" customHeight="1" thickBot="1" x14ac:dyDescent="0.3">
      <c r="C268" s="132"/>
      <c r="D268" s="133"/>
      <c r="E268" s="134"/>
      <c r="F268" s="134"/>
      <c r="G268" s="135" t="s">
        <v>389</v>
      </c>
      <c r="H268" s="136"/>
      <c r="I268" s="137">
        <f>I267</f>
        <v>21600</v>
      </c>
    </row>
    <row r="269" spans="2:10" ht="15.95" customHeight="1" x14ac:dyDescent="0.25">
      <c r="C269" s="158" t="s">
        <v>390</v>
      </c>
      <c r="D269" s="159" t="s">
        <v>391</v>
      </c>
      <c r="E269" s="160"/>
      <c r="F269" s="160"/>
      <c r="G269" s="161"/>
      <c r="H269" s="162">
        <f>IF(AND(D269&lt;&gt;"",F269&lt;&gt;""),IF(C269="",IF(F269="OH",VLOOKUP(D269,[1]UPAH!$B$3:$G$32,7,0),VLOOKUP(D269,[1]BAHAN!$A$2:$D$3,4,0)),0),0)</f>
        <v>0</v>
      </c>
      <c r="I269" s="126">
        <f>SUM(I261:I268)/2</f>
        <v>301495</v>
      </c>
    </row>
    <row r="270" spans="2:10" ht="15.95" customHeight="1" thickBot="1" x14ac:dyDescent="0.3">
      <c r="C270" s="147" t="s">
        <v>392</v>
      </c>
      <c r="D270" s="148" t="s">
        <v>393</v>
      </c>
      <c r="E270" s="149"/>
      <c r="F270" s="149"/>
      <c r="G270" s="164">
        <v>0.1</v>
      </c>
      <c r="H270" s="151"/>
      <c r="I270" s="146">
        <f>G270*I269</f>
        <v>30149.5</v>
      </c>
    </row>
    <row r="271" spans="2:10" ht="15.95" customHeight="1" thickBot="1" x14ac:dyDescent="0.3">
      <c r="C271" s="111" t="s">
        <v>394</v>
      </c>
      <c r="D271" s="112" t="s">
        <v>395</v>
      </c>
      <c r="E271" s="134"/>
      <c r="F271" s="134"/>
      <c r="G271" s="156"/>
      <c r="H271" s="136">
        <f>IF(AND(D271&lt;&gt;"",F271&lt;&gt;""),IF(C271="",IF(F271="OH",VLOOKUP(D271,[1]UPAH!$B$3:$G$32,7,0),VLOOKUP(D271,[1]BAHAN!$A$2:$D$3,4,0)),0),0)</f>
        <v>0</v>
      </c>
      <c r="I271" s="137">
        <f>ROUNDDOWN(I269+I270,0)</f>
        <v>331644</v>
      </c>
    </row>
    <row r="272" spans="2:10" ht="15.95" customHeight="1" x14ac:dyDescent="0.25">
      <c r="C272" s="109"/>
      <c r="D272" s="109"/>
      <c r="G272" s="157"/>
    </row>
    <row r="273" spans="2:10" ht="15.95" customHeight="1" thickBot="1" x14ac:dyDescent="0.3">
      <c r="B273" s="104" t="s">
        <v>451</v>
      </c>
      <c r="C273" s="109" t="s">
        <v>452</v>
      </c>
      <c r="G273" s="157"/>
      <c r="J273" s="110">
        <f>I285</f>
        <v>153942</v>
      </c>
    </row>
    <row r="274" spans="2:10" ht="15.95" customHeight="1" thickBot="1" x14ac:dyDescent="0.3">
      <c r="C274" s="111" t="s">
        <v>328</v>
      </c>
      <c r="D274" s="112" t="s">
        <v>359</v>
      </c>
      <c r="E274" s="113" t="s">
        <v>360</v>
      </c>
      <c r="F274" s="113" t="s">
        <v>330</v>
      </c>
      <c r="G274" s="114" t="s">
        <v>361</v>
      </c>
      <c r="H274" s="112" t="s">
        <v>362</v>
      </c>
      <c r="I274" s="115" t="s">
        <v>363</v>
      </c>
    </row>
    <row r="275" spans="2:10" ht="15.95" customHeight="1" x14ac:dyDescent="0.25">
      <c r="C275" s="158" t="s">
        <v>364</v>
      </c>
      <c r="D275" s="159" t="s">
        <v>365</v>
      </c>
      <c r="E275" s="160"/>
      <c r="F275" s="160"/>
      <c r="G275" s="161"/>
      <c r="H275" s="144"/>
      <c r="I275" s="126"/>
    </row>
    <row r="276" spans="2:10" ht="15.95" customHeight="1" x14ac:dyDescent="0.25">
      <c r="C276" s="122"/>
      <c r="D276" s="117" t="s">
        <v>366</v>
      </c>
      <c r="E276" s="123" t="s">
        <v>367</v>
      </c>
      <c r="F276" s="123" t="s">
        <v>368</v>
      </c>
      <c r="G276" s="124">
        <v>0.66669999999999996</v>
      </c>
      <c r="H276" s="125">
        <f>VLOOKUP(D276,Upah,8,FALSE)</f>
        <v>125000</v>
      </c>
      <c r="I276" s="126">
        <f>G276*H276</f>
        <v>83337.5</v>
      </c>
    </row>
    <row r="277" spans="2:10" ht="15.95" customHeight="1" thickBot="1" x14ac:dyDescent="0.3">
      <c r="C277" s="127"/>
      <c r="D277" s="128" t="s">
        <v>373</v>
      </c>
      <c r="E277" s="129" t="s">
        <v>374</v>
      </c>
      <c r="F277" s="129" t="s">
        <v>368</v>
      </c>
      <c r="G277" s="130">
        <v>0.33300000000000002</v>
      </c>
      <c r="H277" s="125">
        <f>VLOOKUP(D277,Upah,8,FALSE)</f>
        <v>170000</v>
      </c>
      <c r="I277" s="126">
        <f>G277*H277</f>
        <v>56610</v>
      </c>
    </row>
    <row r="278" spans="2:10" ht="15.95" customHeight="1" thickBot="1" x14ac:dyDescent="0.3">
      <c r="C278" s="132"/>
      <c r="D278" s="133"/>
      <c r="E278" s="134"/>
      <c r="F278" s="134"/>
      <c r="G278" s="135" t="s">
        <v>375</v>
      </c>
      <c r="H278" s="136"/>
      <c r="I278" s="137">
        <f>SUM(I275:I277)</f>
        <v>139947.5</v>
      </c>
    </row>
    <row r="279" spans="2:10" ht="15.95" customHeight="1" thickBot="1" x14ac:dyDescent="0.3">
      <c r="C279" s="147" t="s">
        <v>376</v>
      </c>
      <c r="D279" s="148" t="s">
        <v>377</v>
      </c>
      <c r="E279" s="149"/>
      <c r="F279" s="149"/>
      <c r="G279" s="150"/>
      <c r="H279" s="144">
        <f>IF(AND(D279&lt;&gt;"",F279&lt;&gt;""),IF(C279="",IF(F279="OH",VLOOKUP(D279,[1]UPAH!$B$3:$G$32,7,0),VLOOKUP(D279,[1]BAHAN!$A$2:$D$3,4,0)),0),0)</f>
        <v>0</v>
      </c>
      <c r="I279" s="126">
        <f>G279*H279</f>
        <v>0</v>
      </c>
    </row>
    <row r="280" spans="2:10" ht="15.95" customHeight="1" thickBot="1" x14ac:dyDescent="0.3">
      <c r="C280" s="132"/>
      <c r="D280" s="133"/>
      <c r="E280" s="134"/>
      <c r="F280" s="134"/>
      <c r="G280" s="135" t="s">
        <v>386</v>
      </c>
      <c r="H280" s="136"/>
      <c r="I280" s="137">
        <f>SUM(I279)</f>
        <v>0</v>
      </c>
    </row>
    <row r="281" spans="2:10" ht="15.95" customHeight="1" thickBot="1" x14ac:dyDescent="0.3">
      <c r="C281" s="147" t="s">
        <v>387</v>
      </c>
      <c r="D281" s="148" t="s">
        <v>388</v>
      </c>
      <c r="E281" s="149"/>
      <c r="F281" s="149"/>
      <c r="G281" s="150"/>
      <c r="H281" s="144">
        <f>IF(AND(D281&lt;&gt;"",F281&lt;&gt;""),IF(C281="",IF(F281="OH",VLOOKUP(D281,[1]UPAH!$B$3:$G$32,7,0),VLOOKUP(D281,[1]BAHAN!$A$2:$D$3,4,0)),0),0)</f>
        <v>0</v>
      </c>
      <c r="I281" s="126">
        <f>G281*H281</f>
        <v>0</v>
      </c>
    </row>
    <row r="282" spans="2:10" ht="15.95" customHeight="1" thickBot="1" x14ac:dyDescent="0.3">
      <c r="C282" s="132"/>
      <c r="D282" s="133"/>
      <c r="E282" s="134"/>
      <c r="F282" s="134"/>
      <c r="G282" s="135" t="s">
        <v>389</v>
      </c>
      <c r="H282" s="136"/>
      <c r="I282" s="137">
        <f>I281</f>
        <v>0</v>
      </c>
    </row>
    <row r="283" spans="2:10" ht="15.95" customHeight="1" x14ac:dyDescent="0.25">
      <c r="C283" s="158" t="s">
        <v>390</v>
      </c>
      <c r="D283" s="159" t="s">
        <v>391</v>
      </c>
      <c r="E283" s="160"/>
      <c r="F283" s="160"/>
      <c r="G283" s="161"/>
      <c r="H283" s="162">
        <f>IF(AND(D283&lt;&gt;"",F283&lt;&gt;""),IF(C283="",IF(F283="OH",VLOOKUP(D283,[1]UPAH!$B$3:$G$32,7,0),VLOOKUP(D283,[1]BAHAN!$A$2:$D$3,4,0)),0),0)</f>
        <v>0</v>
      </c>
      <c r="I283" s="126">
        <f>SUM(I275:I282)/2</f>
        <v>139947.5</v>
      </c>
    </row>
    <row r="284" spans="2:10" ht="15.95" customHeight="1" thickBot="1" x14ac:dyDescent="0.3">
      <c r="C284" s="147" t="s">
        <v>392</v>
      </c>
      <c r="D284" s="148" t="s">
        <v>393</v>
      </c>
      <c r="E284" s="149"/>
      <c r="F284" s="149"/>
      <c r="G284" s="164">
        <v>0.1</v>
      </c>
      <c r="H284" s="151"/>
      <c r="I284" s="146">
        <f>G284*I283</f>
        <v>13994.75</v>
      </c>
    </row>
    <row r="285" spans="2:10" ht="15.95" customHeight="1" thickBot="1" x14ac:dyDescent="0.3">
      <c r="C285" s="111" t="s">
        <v>394</v>
      </c>
      <c r="D285" s="112" t="s">
        <v>395</v>
      </c>
      <c r="E285" s="134"/>
      <c r="F285" s="134"/>
      <c r="G285" s="156"/>
      <c r="H285" s="136">
        <f>IF(AND(D285&lt;&gt;"",F285&lt;&gt;""),IF(C285="",IF(F285="OH",VLOOKUP(D285,[1]UPAH!$B$3:$G$32,7,0),VLOOKUP(D285,[1]BAHAN!$A$2:$D$3,4,0)),0),0)</f>
        <v>0</v>
      </c>
      <c r="I285" s="137">
        <f>ROUNDDOWN(I283+I284,0)</f>
        <v>153942</v>
      </c>
    </row>
    <row r="286" spans="2:10" ht="15.95" customHeight="1" x14ac:dyDescent="0.25">
      <c r="C286" s="109"/>
      <c r="D286" s="109"/>
      <c r="G286" s="157"/>
    </row>
    <row r="287" spans="2:10" ht="15.95" customHeight="1" thickBot="1" x14ac:dyDescent="0.3">
      <c r="B287" s="104" t="s">
        <v>453</v>
      </c>
      <c r="C287" s="109" t="s">
        <v>454</v>
      </c>
      <c r="G287" s="157"/>
      <c r="J287" s="110">
        <f>I302</f>
        <v>35820</v>
      </c>
    </row>
    <row r="288" spans="2:10" ht="15.95" customHeight="1" thickBot="1" x14ac:dyDescent="0.3">
      <c r="C288" s="111" t="s">
        <v>328</v>
      </c>
      <c r="D288" s="112" t="s">
        <v>359</v>
      </c>
      <c r="E288" s="113" t="s">
        <v>360</v>
      </c>
      <c r="F288" s="113" t="s">
        <v>330</v>
      </c>
      <c r="G288" s="114" t="s">
        <v>361</v>
      </c>
      <c r="H288" s="112" t="s">
        <v>362</v>
      </c>
      <c r="I288" s="115" t="s">
        <v>363</v>
      </c>
    </row>
    <row r="289" spans="2:10" ht="15.95" customHeight="1" x14ac:dyDescent="0.25">
      <c r="C289" s="158" t="s">
        <v>364</v>
      </c>
      <c r="D289" s="159" t="s">
        <v>365</v>
      </c>
      <c r="E289" s="160"/>
      <c r="F289" s="160"/>
      <c r="G289" s="161"/>
      <c r="H289" s="144"/>
      <c r="I289" s="126"/>
    </row>
    <row r="290" spans="2:10" ht="15.95" customHeight="1" x14ac:dyDescent="0.25">
      <c r="C290" s="122"/>
      <c r="D290" s="117" t="s">
        <v>366</v>
      </c>
      <c r="E290" s="123" t="s">
        <v>367</v>
      </c>
      <c r="F290" s="123" t="s">
        <v>368</v>
      </c>
      <c r="G290" s="124">
        <v>4.2000000000000003E-2</v>
      </c>
      <c r="H290" s="125">
        <f>VLOOKUP(D290,Upah,8,FALSE)</f>
        <v>125000</v>
      </c>
      <c r="I290" s="126">
        <f>G290*H290</f>
        <v>5250</v>
      </c>
    </row>
    <row r="291" spans="2:10" ht="15.95" customHeight="1" x14ac:dyDescent="0.25">
      <c r="C291" s="122"/>
      <c r="D291" s="117" t="s">
        <v>455</v>
      </c>
      <c r="E291" s="123" t="s">
        <v>456</v>
      </c>
      <c r="F291" s="123" t="s">
        <v>368</v>
      </c>
      <c r="G291" s="124">
        <v>4.0000000000000001E-3</v>
      </c>
      <c r="H291" s="125">
        <f>VLOOKUP(D291,Upah,8,FALSE)</f>
        <v>150000</v>
      </c>
      <c r="I291" s="126">
        <f>G291*H291</f>
        <v>600</v>
      </c>
    </row>
    <row r="292" spans="2:10" ht="15.95" customHeight="1" x14ac:dyDescent="0.25">
      <c r="C292" s="122"/>
      <c r="D292" s="117" t="s">
        <v>371</v>
      </c>
      <c r="E292" s="123" t="s">
        <v>372</v>
      </c>
      <c r="F292" s="123" t="s">
        <v>368</v>
      </c>
      <c r="G292" s="124">
        <v>2E-3</v>
      </c>
      <c r="H292" s="125">
        <f>VLOOKUP(D292,Upah,8,FALSE)</f>
        <v>165000</v>
      </c>
      <c r="I292" s="126">
        <f>G292*H292</f>
        <v>330</v>
      </c>
    </row>
    <row r="293" spans="2:10" ht="15.95" customHeight="1" thickBot="1" x14ac:dyDescent="0.3">
      <c r="C293" s="127"/>
      <c r="D293" s="128" t="s">
        <v>373</v>
      </c>
      <c r="E293" s="129" t="s">
        <v>374</v>
      </c>
      <c r="F293" s="129" t="s">
        <v>368</v>
      </c>
      <c r="G293" s="130">
        <v>4.2000000000000003E-2</v>
      </c>
      <c r="H293" s="125">
        <f>VLOOKUP(D293,Upah,8,FALSE)</f>
        <v>170000</v>
      </c>
      <c r="I293" s="126">
        <f>G293*H293</f>
        <v>7140</v>
      </c>
    </row>
    <row r="294" spans="2:10" ht="15.95" customHeight="1" thickBot="1" x14ac:dyDescent="0.3">
      <c r="C294" s="132"/>
      <c r="D294" s="133"/>
      <c r="E294" s="134"/>
      <c r="F294" s="134"/>
      <c r="G294" s="135" t="s">
        <v>375</v>
      </c>
      <c r="H294" s="136"/>
      <c r="I294" s="137">
        <f>SUM(I290:I293)</f>
        <v>13320</v>
      </c>
    </row>
    <row r="295" spans="2:10" ht="15.95" customHeight="1" x14ac:dyDescent="0.25">
      <c r="C295" s="138" t="s">
        <v>376</v>
      </c>
      <c r="D295" s="139" t="s">
        <v>377</v>
      </c>
      <c r="E295" s="140"/>
      <c r="F295" s="140"/>
      <c r="G295" s="141"/>
      <c r="H295" s="144">
        <f>IF(AND(D295&lt;&gt;"",F295&lt;&gt;""),IF(C295="",IF(F295="OH",VLOOKUP(D295,[1]UPAH!$B$3:$G$32,7,0),VLOOKUP(D295,[1]BAHAN!$A$2:$D$3,4,0)),0),0)</f>
        <v>0</v>
      </c>
      <c r="I295" s="126">
        <f>G295*H295</f>
        <v>0</v>
      </c>
    </row>
    <row r="296" spans="2:10" ht="15.95" customHeight="1" thickBot="1" x14ac:dyDescent="0.3">
      <c r="C296" s="127"/>
      <c r="D296" s="128" t="s">
        <v>457</v>
      </c>
      <c r="E296" s="145"/>
      <c r="F296" s="129" t="s">
        <v>399</v>
      </c>
      <c r="G296" s="130">
        <v>0.1434</v>
      </c>
      <c r="H296" s="144">
        <f>VLOOKUP(D296,Bahan,6,FALSE)</f>
        <v>134200</v>
      </c>
      <c r="I296" s="126">
        <f>G296*H296</f>
        <v>19244.28</v>
      </c>
    </row>
    <row r="297" spans="2:10" ht="15.95" customHeight="1" thickBot="1" x14ac:dyDescent="0.3">
      <c r="C297" s="132"/>
      <c r="D297" s="133"/>
      <c r="E297" s="134"/>
      <c r="F297" s="134"/>
      <c r="G297" s="135" t="s">
        <v>386</v>
      </c>
      <c r="H297" s="136"/>
      <c r="I297" s="137">
        <f>SUM(I296)</f>
        <v>19244.28</v>
      </c>
    </row>
    <row r="298" spans="2:10" ht="15.95" customHeight="1" thickBot="1" x14ac:dyDescent="0.3">
      <c r="C298" s="147" t="s">
        <v>387</v>
      </c>
      <c r="D298" s="148" t="s">
        <v>388</v>
      </c>
      <c r="E298" s="149"/>
      <c r="F298" s="149"/>
      <c r="G298" s="150"/>
      <c r="H298" s="144">
        <f>IF(AND(D298&lt;&gt;"",F298&lt;&gt;""),IF(C298="",IF(F298="OH",VLOOKUP(D298,[1]UPAH!$B$3:$G$32,7,0),VLOOKUP(D298,[1]BAHAN!$A$2:$D$3,4,0)),0),0)</f>
        <v>0</v>
      </c>
      <c r="I298" s="126">
        <f>G298*H298</f>
        <v>0</v>
      </c>
    </row>
    <row r="299" spans="2:10" ht="15.95" customHeight="1" thickBot="1" x14ac:dyDescent="0.3">
      <c r="C299" s="132"/>
      <c r="D299" s="133"/>
      <c r="E299" s="134"/>
      <c r="F299" s="134"/>
      <c r="G299" s="135" t="s">
        <v>389</v>
      </c>
      <c r="H299" s="136"/>
      <c r="I299" s="137">
        <f>I298</f>
        <v>0</v>
      </c>
    </row>
    <row r="300" spans="2:10" ht="15.95" customHeight="1" x14ac:dyDescent="0.25">
      <c r="C300" s="158" t="s">
        <v>390</v>
      </c>
      <c r="D300" s="159" t="s">
        <v>391</v>
      </c>
      <c r="E300" s="160"/>
      <c r="F300" s="160"/>
      <c r="G300" s="161"/>
      <c r="H300" s="162">
        <f>IF(AND(D300&lt;&gt;"",F300&lt;&gt;""),IF(C300="",IF(F300="OH",VLOOKUP(D300,[1]UPAH!$B$3:$G$32,7,0),VLOOKUP(D300,[1]BAHAN!$A$2:$D$3,4,0)),0),0)</f>
        <v>0</v>
      </c>
      <c r="I300" s="126">
        <f>SUM(I290:I299)/2</f>
        <v>32564.28</v>
      </c>
    </row>
    <row r="301" spans="2:10" ht="15.95" customHeight="1" thickBot="1" x14ac:dyDescent="0.3">
      <c r="C301" s="147" t="s">
        <v>392</v>
      </c>
      <c r="D301" s="148" t="s">
        <v>393</v>
      </c>
      <c r="E301" s="149"/>
      <c r="F301" s="149"/>
      <c r="G301" s="164">
        <v>0.1</v>
      </c>
      <c r="H301" s="151"/>
      <c r="I301" s="146">
        <f>G301*I300</f>
        <v>3256.4279999999999</v>
      </c>
    </row>
    <row r="302" spans="2:10" ht="15.95" customHeight="1" thickBot="1" x14ac:dyDescent="0.3">
      <c r="C302" s="111" t="s">
        <v>394</v>
      </c>
      <c r="D302" s="112" t="s">
        <v>395</v>
      </c>
      <c r="E302" s="134"/>
      <c r="F302" s="134"/>
      <c r="G302" s="156"/>
      <c r="H302" s="136">
        <f>IF(AND(D302&lt;&gt;"",F302&lt;&gt;""),IF(C302="",IF(F302="OH",VLOOKUP(D302,[1]UPAH!$B$3:$G$32,7,0),VLOOKUP(D302,[1]BAHAN!$A$2:$D$3,4,0)),0),0)</f>
        <v>0</v>
      </c>
      <c r="I302" s="137">
        <f>ROUNDDOWN(I300+I301,0)</f>
        <v>35820</v>
      </c>
    </row>
    <row r="303" spans="2:10" ht="15.95" customHeight="1" x14ac:dyDescent="0.25">
      <c r="C303" s="109"/>
      <c r="D303" s="109"/>
      <c r="G303" s="157"/>
    </row>
    <row r="304" spans="2:10" ht="15.95" customHeight="1" thickBot="1" x14ac:dyDescent="0.3">
      <c r="B304" s="104" t="s">
        <v>458</v>
      </c>
      <c r="C304" s="109" t="s">
        <v>459</v>
      </c>
      <c r="G304" s="157"/>
      <c r="J304" s="110">
        <f>I323</f>
        <v>626811</v>
      </c>
    </row>
    <row r="305" spans="3:9" ht="15.95" customHeight="1" thickBot="1" x14ac:dyDescent="0.3">
      <c r="C305" s="111" t="s">
        <v>328</v>
      </c>
      <c r="D305" s="112" t="s">
        <v>359</v>
      </c>
      <c r="E305" s="113" t="s">
        <v>360</v>
      </c>
      <c r="F305" s="113" t="s">
        <v>330</v>
      </c>
      <c r="G305" s="114" t="s">
        <v>361</v>
      </c>
      <c r="H305" s="112" t="s">
        <v>362</v>
      </c>
      <c r="I305" s="115" t="s">
        <v>363</v>
      </c>
    </row>
    <row r="306" spans="3:9" ht="15.95" customHeight="1" x14ac:dyDescent="0.25">
      <c r="C306" s="158" t="s">
        <v>364</v>
      </c>
      <c r="D306" s="159" t="s">
        <v>365</v>
      </c>
      <c r="E306" s="160"/>
      <c r="F306" s="160"/>
      <c r="G306" s="161"/>
      <c r="H306" s="144"/>
      <c r="I306" s="126"/>
    </row>
    <row r="307" spans="3:9" ht="15.95" customHeight="1" x14ac:dyDescent="0.25">
      <c r="C307" s="122"/>
      <c r="D307" s="117" t="s">
        <v>366</v>
      </c>
      <c r="E307" s="123" t="s">
        <v>367</v>
      </c>
      <c r="F307" s="123" t="s">
        <v>368</v>
      </c>
      <c r="G307" s="124">
        <v>0.375</v>
      </c>
      <c r="H307" s="125">
        <f>VLOOKUP(D307,Upah,8,FALSE)</f>
        <v>125000</v>
      </c>
      <c r="I307" s="126">
        <f>G307*H307</f>
        <v>46875</v>
      </c>
    </row>
    <row r="308" spans="3:9" ht="15.95" customHeight="1" x14ac:dyDescent="0.25">
      <c r="C308" s="122"/>
      <c r="D308" s="117" t="s">
        <v>455</v>
      </c>
      <c r="E308" s="123" t="s">
        <v>456</v>
      </c>
      <c r="F308" s="123" t="s">
        <v>368</v>
      </c>
      <c r="G308" s="124">
        <v>0.125</v>
      </c>
      <c r="H308" s="125">
        <f>VLOOKUP(D308,Upah,8,FALSE)</f>
        <v>150000</v>
      </c>
      <c r="I308" s="126">
        <f>G308*H308</f>
        <v>18750</v>
      </c>
    </row>
    <row r="309" spans="3:9" ht="15.95" customHeight="1" x14ac:dyDescent="0.25">
      <c r="C309" s="122"/>
      <c r="D309" s="117" t="s">
        <v>371</v>
      </c>
      <c r="E309" s="123" t="s">
        <v>372</v>
      </c>
      <c r="F309" s="123" t="s">
        <v>368</v>
      </c>
      <c r="G309" s="124">
        <v>1.2E-2</v>
      </c>
      <c r="H309" s="125">
        <f>VLOOKUP(D309,Upah,8,FALSE)</f>
        <v>165000</v>
      </c>
      <c r="I309" s="126">
        <f>G309*H309</f>
        <v>1980</v>
      </c>
    </row>
    <row r="310" spans="3:9" ht="15.95" customHeight="1" thickBot="1" x14ac:dyDescent="0.3">
      <c r="C310" s="127"/>
      <c r="D310" s="128" t="s">
        <v>373</v>
      </c>
      <c r="E310" s="129" t="s">
        <v>374</v>
      </c>
      <c r="F310" s="129" t="s">
        <v>368</v>
      </c>
      <c r="G310" s="130">
        <v>1.9E-2</v>
      </c>
      <c r="H310" s="125">
        <f>VLOOKUP(D310,Upah,8,FALSE)</f>
        <v>170000</v>
      </c>
      <c r="I310" s="126">
        <f>G310*H310</f>
        <v>3230</v>
      </c>
    </row>
    <row r="311" spans="3:9" ht="15.95" customHeight="1" thickBot="1" x14ac:dyDescent="0.3">
      <c r="C311" s="132"/>
      <c r="D311" s="133"/>
      <c r="E311" s="134"/>
      <c r="F311" s="134"/>
      <c r="G311" s="135" t="s">
        <v>375</v>
      </c>
      <c r="H311" s="136"/>
      <c r="I311" s="137">
        <f>SUM(I307:I310)</f>
        <v>70835</v>
      </c>
    </row>
    <row r="312" spans="3:9" ht="15.95" customHeight="1" x14ac:dyDescent="0.25">
      <c r="C312" s="138" t="s">
        <v>376</v>
      </c>
      <c r="D312" s="139" t="s">
        <v>377</v>
      </c>
      <c r="E312" s="140"/>
      <c r="F312" s="140"/>
      <c r="G312" s="141"/>
      <c r="H312" s="144">
        <f>IF(AND(D312&lt;&gt;"",F312&lt;&gt;""),IF(C312="",IF(F312="OH",VLOOKUP(D312,[1]UPAH!$B$3:$G$32,7,0),VLOOKUP(D312,[1]BAHAN!$A$2:$D$3,4,0)),0),0)</f>
        <v>0</v>
      </c>
      <c r="I312" s="126">
        <f t="shared" ref="I312:I317" si="12">G312*H312</f>
        <v>0</v>
      </c>
    </row>
    <row r="313" spans="3:9" ht="15.95" customHeight="1" x14ac:dyDescent="0.25">
      <c r="C313" s="122"/>
      <c r="D313" s="117" t="s">
        <v>460</v>
      </c>
      <c r="E313" s="118"/>
      <c r="F313" s="123" t="s">
        <v>399</v>
      </c>
      <c r="G313" s="124">
        <v>0.98599999999999999</v>
      </c>
      <c r="H313" s="144">
        <f>VLOOKUP(D313,Bahan,6,FALSE)</f>
        <v>178500</v>
      </c>
      <c r="I313" s="126">
        <f t="shared" si="12"/>
        <v>176001</v>
      </c>
    </row>
    <row r="314" spans="3:9" ht="15.95" customHeight="1" x14ac:dyDescent="0.25">
      <c r="C314" s="122"/>
      <c r="D314" s="117" t="s">
        <v>461</v>
      </c>
      <c r="E314" s="118"/>
      <c r="F314" s="123" t="s">
        <v>379</v>
      </c>
      <c r="G314" s="124">
        <v>0.52500000000000002</v>
      </c>
      <c r="H314" s="144">
        <f>VLOOKUP(D314,Bahan,6,FALSE)</f>
        <v>237890</v>
      </c>
      <c r="I314" s="126">
        <f t="shared" si="12"/>
        <v>124892.25</v>
      </c>
    </row>
    <row r="315" spans="3:9" ht="15.95" customHeight="1" x14ac:dyDescent="0.25">
      <c r="C315" s="122"/>
      <c r="D315" s="117" t="s">
        <v>380</v>
      </c>
      <c r="E315" s="118"/>
      <c r="F315" s="123" t="s">
        <v>159</v>
      </c>
      <c r="G315" s="124">
        <v>45</v>
      </c>
      <c r="H315" s="144">
        <f>VLOOKUP(D315,Bahan,6,FALSE)</f>
        <v>1880</v>
      </c>
      <c r="I315" s="126">
        <f t="shared" si="12"/>
        <v>84600</v>
      </c>
    </row>
    <row r="316" spans="3:9" ht="15.95" customHeight="1" x14ac:dyDescent="0.25">
      <c r="C316" s="122"/>
      <c r="D316" s="117" t="s">
        <v>1919</v>
      </c>
      <c r="E316" s="118"/>
      <c r="F316" s="123" t="s">
        <v>158</v>
      </c>
      <c r="G316" s="124">
        <v>7.3999999999999996E-2</v>
      </c>
      <c r="H316" s="144">
        <f>VLOOKUP(D316,Bahan,6,FALSE)</f>
        <v>350000</v>
      </c>
      <c r="I316" s="126">
        <f t="shared" si="12"/>
        <v>25900</v>
      </c>
    </row>
    <row r="317" spans="3:9" ht="15.95" customHeight="1" thickBot="1" x14ac:dyDescent="0.3">
      <c r="C317" s="127"/>
      <c r="D317" s="128" t="s">
        <v>462</v>
      </c>
      <c r="E317" s="145"/>
      <c r="F317" s="129" t="s">
        <v>158</v>
      </c>
      <c r="G317" s="130">
        <v>0.14599999999999999</v>
      </c>
      <c r="H317" s="144">
        <f>VLOOKUP(D317,Bahan,6,FALSE)</f>
        <v>600000</v>
      </c>
      <c r="I317" s="126">
        <f t="shared" si="12"/>
        <v>87600</v>
      </c>
    </row>
    <row r="318" spans="3:9" ht="15.95" customHeight="1" thickBot="1" x14ac:dyDescent="0.3">
      <c r="C318" s="132"/>
      <c r="D318" s="133"/>
      <c r="E318" s="134"/>
      <c r="F318" s="134"/>
      <c r="G318" s="135" t="s">
        <v>386</v>
      </c>
      <c r="H318" s="136"/>
      <c r="I318" s="137">
        <f>SUM(I312:I317)</f>
        <v>498993.25</v>
      </c>
    </row>
    <row r="319" spans="3:9" ht="15.95" customHeight="1" thickBot="1" x14ac:dyDescent="0.3">
      <c r="C319" s="147" t="s">
        <v>387</v>
      </c>
      <c r="D319" s="148" t="s">
        <v>388</v>
      </c>
      <c r="E319" s="149"/>
      <c r="F319" s="149"/>
      <c r="G319" s="150"/>
      <c r="H319" s="144">
        <f>IF(AND(D319&lt;&gt;"",F319&lt;&gt;""),IF(C319="",IF(F319="OH",VLOOKUP(D319,[1]UPAH!$B$3:$G$32,7,0),VLOOKUP(D319,[1]BAHAN!$A$2:$D$3,4,0)),0),0)</f>
        <v>0</v>
      </c>
      <c r="I319" s="126">
        <f>G319*H319</f>
        <v>0</v>
      </c>
    </row>
    <row r="320" spans="3:9" ht="15.95" customHeight="1" thickBot="1" x14ac:dyDescent="0.3">
      <c r="C320" s="132"/>
      <c r="D320" s="133"/>
      <c r="E320" s="134"/>
      <c r="F320" s="134"/>
      <c r="G320" s="135" t="s">
        <v>389</v>
      </c>
      <c r="H320" s="136"/>
      <c r="I320" s="137">
        <f>I319</f>
        <v>0</v>
      </c>
    </row>
    <row r="321" spans="1:15" ht="15.95" customHeight="1" x14ac:dyDescent="0.25">
      <c r="C321" s="158" t="s">
        <v>390</v>
      </c>
      <c r="D321" s="159" t="s">
        <v>391</v>
      </c>
      <c r="E321" s="160"/>
      <c r="F321" s="160"/>
      <c r="G321" s="161"/>
      <c r="H321" s="162">
        <f>IF(AND(D321&lt;&gt;"",F321&lt;&gt;""),IF(C321="",IF(F321="OH",VLOOKUP(D321,[1]UPAH!$B$3:$G$32,7,0),VLOOKUP(D321,[1]BAHAN!$A$2:$D$3,4,0)),0),0)</f>
        <v>0</v>
      </c>
      <c r="I321" s="126">
        <f>SUM(I307:I320)/2</f>
        <v>569828.25</v>
      </c>
    </row>
    <row r="322" spans="1:15" ht="15.95" customHeight="1" thickBot="1" x14ac:dyDescent="0.3">
      <c r="C322" s="147" t="s">
        <v>392</v>
      </c>
      <c r="D322" s="148" t="s">
        <v>393</v>
      </c>
      <c r="E322" s="149"/>
      <c r="F322" s="149"/>
      <c r="G322" s="164">
        <v>0.1</v>
      </c>
      <c r="H322" s="151"/>
      <c r="I322" s="146">
        <f>G322*I321</f>
        <v>56982.825000000004</v>
      </c>
    </row>
    <row r="323" spans="1:15" ht="15.95" customHeight="1" thickBot="1" x14ac:dyDescent="0.3">
      <c r="C323" s="111" t="s">
        <v>394</v>
      </c>
      <c r="D323" s="112" t="s">
        <v>395</v>
      </c>
      <c r="E323" s="134"/>
      <c r="F323" s="134"/>
      <c r="G323" s="156"/>
      <c r="H323" s="136">
        <f>IF(AND(D323&lt;&gt;"",F323&lt;&gt;""),IF(C323="",IF(F323="OH",VLOOKUP(D323,[1]UPAH!$B$3:$G$32,7,0),VLOOKUP(D323,[1]BAHAN!$A$2:$D$3,4,0)),0),0)</f>
        <v>0</v>
      </c>
      <c r="I323" s="137">
        <f>ROUNDDOWN(I321+I322,0)</f>
        <v>626811</v>
      </c>
    </row>
    <row r="324" spans="1:15" ht="15.95" customHeight="1" x14ac:dyDescent="0.25">
      <c r="B324" s="109"/>
      <c r="D324" s="109"/>
      <c r="G324" s="157"/>
    </row>
    <row r="325" spans="1:15" ht="15.95" customHeight="1" x14ac:dyDescent="0.25">
      <c r="A325" s="167" t="s">
        <v>463</v>
      </c>
      <c r="B325" s="168" t="s">
        <v>464</v>
      </c>
      <c r="G325" s="157"/>
      <c r="N325" s="169"/>
      <c r="O325" s="169"/>
    </row>
    <row r="326" spans="1:15" ht="15.95" customHeight="1" thickBot="1" x14ac:dyDescent="0.3">
      <c r="B326" s="171" t="s">
        <v>465</v>
      </c>
      <c r="C326" s="109" t="s">
        <v>466</v>
      </c>
      <c r="G326" s="157"/>
      <c r="J326" s="110">
        <f>I338</f>
        <v>107800</v>
      </c>
    </row>
    <row r="327" spans="1:15" ht="15.95" customHeight="1" thickBot="1" x14ac:dyDescent="0.3">
      <c r="C327" s="111" t="s">
        <v>328</v>
      </c>
      <c r="D327" s="112" t="s">
        <v>359</v>
      </c>
      <c r="E327" s="113" t="s">
        <v>360</v>
      </c>
      <c r="F327" s="113" t="s">
        <v>330</v>
      </c>
      <c r="G327" s="114" t="s">
        <v>361</v>
      </c>
      <c r="H327" s="112" t="s">
        <v>362</v>
      </c>
      <c r="I327" s="115" t="s">
        <v>363</v>
      </c>
    </row>
    <row r="328" spans="1:15" ht="15.95" customHeight="1" x14ac:dyDescent="0.25">
      <c r="C328" s="158" t="s">
        <v>364</v>
      </c>
      <c r="D328" s="159" t="s">
        <v>365</v>
      </c>
      <c r="E328" s="160"/>
      <c r="F328" s="160"/>
      <c r="G328" s="161"/>
      <c r="H328" s="144">
        <f>IF(AND(D328&lt;&gt;"",F328&lt;&gt;""),IF(C328="",IF(F328="OH",VLOOKUP(D328,[1]UPAH!$B$3:$G$32,7,0),VLOOKUP(D328,[1]BAHAN!$A$2:$D$3,4,0)),0),0)</f>
        <v>0</v>
      </c>
      <c r="I328" s="126">
        <f>G328*H328</f>
        <v>0</v>
      </c>
    </row>
    <row r="329" spans="1:15" ht="15.95" customHeight="1" x14ac:dyDescent="0.25">
      <c r="C329" s="122"/>
      <c r="D329" s="117" t="s">
        <v>366</v>
      </c>
      <c r="E329" s="123" t="s">
        <v>367</v>
      </c>
      <c r="F329" s="123" t="s">
        <v>368</v>
      </c>
      <c r="G329" s="124">
        <v>0.75</v>
      </c>
      <c r="H329" s="125">
        <f>VLOOKUP(D329,Upah,8,FALSE)</f>
        <v>125000</v>
      </c>
      <c r="I329" s="126">
        <f>G329*H329</f>
        <v>93750</v>
      </c>
    </row>
    <row r="330" spans="1:15" ht="15.95" customHeight="1" thickBot="1" x14ac:dyDescent="0.3">
      <c r="C330" s="127"/>
      <c r="D330" s="128" t="s">
        <v>373</v>
      </c>
      <c r="E330" s="129" t="s">
        <v>374</v>
      </c>
      <c r="F330" s="129" t="s">
        <v>368</v>
      </c>
      <c r="G330" s="130">
        <v>2.5000000000000001E-2</v>
      </c>
      <c r="H330" s="125">
        <f>VLOOKUP(D330,Upah,8,FALSE)</f>
        <v>170000</v>
      </c>
      <c r="I330" s="126">
        <f>G330*H330</f>
        <v>4250</v>
      </c>
    </row>
    <row r="331" spans="1:15" ht="15.95" customHeight="1" thickBot="1" x14ac:dyDescent="0.3">
      <c r="C331" s="132"/>
      <c r="D331" s="133"/>
      <c r="E331" s="134"/>
      <c r="F331" s="134"/>
      <c r="G331" s="135" t="s">
        <v>375</v>
      </c>
      <c r="H331" s="136"/>
      <c r="I331" s="137">
        <f>SUM(I328:I330)</f>
        <v>98000</v>
      </c>
    </row>
    <row r="332" spans="1:15" ht="15.95" customHeight="1" thickBot="1" x14ac:dyDescent="0.3">
      <c r="C332" s="147" t="s">
        <v>376</v>
      </c>
      <c r="D332" s="148" t="s">
        <v>377</v>
      </c>
      <c r="E332" s="149"/>
      <c r="F332" s="149"/>
      <c r="G332" s="150"/>
      <c r="H332" s="144">
        <f>IF(AND(D332&lt;&gt;"",F332&lt;&gt;""),IF(C332="",IF(F332="OH",VLOOKUP(D332,[1]UPAH!$B$3:$G$32,7,0),VLOOKUP(D332,[1]BAHAN!$A$2:$D$3,4,0)),0),0)</f>
        <v>0</v>
      </c>
      <c r="I332" s="126">
        <f>G332*H332</f>
        <v>0</v>
      </c>
    </row>
    <row r="333" spans="1:15" ht="15.95" customHeight="1" thickBot="1" x14ac:dyDescent="0.3">
      <c r="C333" s="132"/>
      <c r="D333" s="133"/>
      <c r="E333" s="134"/>
      <c r="F333" s="134"/>
      <c r="G333" s="135" t="s">
        <v>386</v>
      </c>
      <c r="H333" s="136"/>
      <c r="I333" s="137">
        <f>SUM(I332)</f>
        <v>0</v>
      </c>
    </row>
    <row r="334" spans="1:15" ht="15.95" customHeight="1" thickBot="1" x14ac:dyDescent="0.3">
      <c r="C334" s="147" t="s">
        <v>387</v>
      </c>
      <c r="D334" s="148" t="s">
        <v>388</v>
      </c>
      <c r="E334" s="149"/>
      <c r="F334" s="149"/>
      <c r="G334" s="150"/>
      <c r="H334" s="144">
        <f>IF(AND(D334&lt;&gt;"",F334&lt;&gt;""),IF(C334="",IF(F334="OH",VLOOKUP(D334,[1]UPAH!$B$3:$G$32,7,0),VLOOKUP(D334,[1]BAHAN!$A$2:$D$3,4,0)),0),0)</f>
        <v>0</v>
      </c>
      <c r="I334" s="126">
        <f>G334*H334</f>
        <v>0</v>
      </c>
    </row>
    <row r="335" spans="1:15" ht="15.95" customHeight="1" thickBot="1" x14ac:dyDescent="0.3">
      <c r="C335" s="132"/>
      <c r="D335" s="133"/>
      <c r="E335" s="134"/>
      <c r="F335" s="134"/>
      <c r="G335" s="135" t="s">
        <v>389</v>
      </c>
      <c r="H335" s="136"/>
      <c r="I335" s="137">
        <f>I334</f>
        <v>0</v>
      </c>
    </row>
    <row r="336" spans="1:15" ht="15.95" customHeight="1" x14ac:dyDescent="0.25">
      <c r="C336" s="158" t="s">
        <v>390</v>
      </c>
      <c r="D336" s="159" t="s">
        <v>391</v>
      </c>
      <c r="E336" s="160"/>
      <c r="F336" s="160"/>
      <c r="G336" s="161"/>
      <c r="H336" s="162">
        <f>IF(AND(D336&lt;&gt;"",F336&lt;&gt;""),IF(C336="",IF(F336="OH",VLOOKUP(D336,[1]UPAH!$B$3:$G$32,7,0),VLOOKUP(D336,[1]BAHAN!$A$2:$D$3,4,0)),0),0)</f>
        <v>0</v>
      </c>
      <c r="I336" s="126">
        <f>SUM(I329:I335)/2</f>
        <v>98000</v>
      </c>
    </row>
    <row r="337" spans="2:10" ht="15.95" customHeight="1" thickBot="1" x14ac:dyDescent="0.3">
      <c r="C337" s="147" t="s">
        <v>392</v>
      </c>
      <c r="D337" s="148" t="s">
        <v>393</v>
      </c>
      <c r="E337" s="149"/>
      <c r="F337" s="149"/>
      <c r="G337" s="164">
        <v>0.1</v>
      </c>
      <c r="H337" s="151"/>
      <c r="I337" s="146">
        <f>G337*I336</f>
        <v>9800</v>
      </c>
    </row>
    <row r="338" spans="2:10" ht="15.95" customHeight="1" thickBot="1" x14ac:dyDescent="0.3">
      <c r="C338" s="111" t="s">
        <v>394</v>
      </c>
      <c r="D338" s="112" t="s">
        <v>395</v>
      </c>
      <c r="E338" s="134"/>
      <c r="F338" s="134"/>
      <c r="G338" s="156"/>
      <c r="H338" s="136">
        <f>IF(AND(D338&lt;&gt;"",F338&lt;&gt;""),IF(C338="",IF(F338="OH",VLOOKUP(D338,[1]UPAH!$B$3:$G$32,7,0),VLOOKUP(D338,[1]BAHAN!$A$2:$D$3,4,0)),0),0)</f>
        <v>0</v>
      </c>
      <c r="I338" s="137">
        <f>ROUNDDOWN(I336+I337,0)</f>
        <v>107800</v>
      </c>
    </row>
    <row r="339" spans="2:10" ht="15.95" customHeight="1" x14ac:dyDescent="0.25">
      <c r="C339" s="109"/>
      <c r="D339" s="109"/>
      <c r="G339" s="157"/>
    </row>
    <row r="340" spans="2:10" ht="15.95" customHeight="1" thickBot="1" x14ac:dyDescent="0.3">
      <c r="B340" s="104" t="s">
        <v>467</v>
      </c>
      <c r="C340" s="109" t="s">
        <v>468</v>
      </c>
      <c r="G340" s="157"/>
      <c r="J340" s="110">
        <f>I352</f>
        <v>132165</v>
      </c>
    </row>
    <row r="341" spans="2:10" ht="15.95" customHeight="1" thickBot="1" x14ac:dyDescent="0.3">
      <c r="C341" s="111" t="s">
        <v>328</v>
      </c>
      <c r="D341" s="112" t="s">
        <v>359</v>
      </c>
      <c r="E341" s="113" t="s">
        <v>360</v>
      </c>
      <c r="F341" s="113" t="s">
        <v>330</v>
      </c>
      <c r="G341" s="114" t="s">
        <v>361</v>
      </c>
      <c r="H341" s="112" t="s">
        <v>362</v>
      </c>
      <c r="I341" s="115" t="s">
        <v>363</v>
      </c>
    </row>
    <row r="342" spans="2:10" ht="15.95" customHeight="1" x14ac:dyDescent="0.25">
      <c r="C342" s="116" t="s">
        <v>364</v>
      </c>
      <c r="D342" s="117" t="s">
        <v>365</v>
      </c>
      <c r="E342" s="118"/>
      <c r="F342" s="118"/>
      <c r="G342" s="165"/>
      <c r="H342" s="144">
        <f>IF(AND(D342&lt;&gt;"",F342&lt;&gt;""),IF(C342="",IF(F342="OH",VLOOKUP(D342,[1]UPAH!$B$3:$G$32,7,0),VLOOKUP(D342,[1]BAHAN!$A$2:$D$3,4,0)),0),0)</f>
        <v>0</v>
      </c>
      <c r="I342" s="126">
        <f>G342*H342</f>
        <v>0</v>
      </c>
    </row>
    <row r="343" spans="2:10" ht="15.95" customHeight="1" x14ac:dyDescent="0.25">
      <c r="C343" s="122"/>
      <c r="D343" s="117" t="s">
        <v>366</v>
      </c>
      <c r="E343" s="123" t="s">
        <v>367</v>
      </c>
      <c r="F343" s="123" t="s">
        <v>368</v>
      </c>
      <c r="G343" s="124">
        <v>0.9</v>
      </c>
      <c r="H343" s="125">
        <f>VLOOKUP(D343,Upah,8,FALSE)</f>
        <v>125000</v>
      </c>
      <c r="I343" s="126">
        <f>G343*H343</f>
        <v>112500</v>
      </c>
    </row>
    <row r="344" spans="2:10" ht="15.95" customHeight="1" thickBot="1" x14ac:dyDescent="0.3">
      <c r="C344" s="127"/>
      <c r="D344" s="128" t="s">
        <v>373</v>
      </c>
      <c r="E344" s="129" t="s">
        <v>374</v>
      </c>
      <c r="F344" s="129" t="s">
        <v>368</v>
      </c>
      <c r="G344" s="130">
        <v>4.4999999999999998E-2</v>
      </c>
      <c r="H344" s="125">
        <f>VLOOKUP(D344,Upah,8,FALSE)</f>
        <v>170000</v>
      </c>
      <c r="I344" s="126">
        <f>G344*H344</f>
        <v>7650</v>
      </c>
    </row>
    <row r="345" spans="2:10" ht="15.95" customHeight="1" thickBot="1" x14ac:dyDescent="0.3">
      <c r="C345" s="132"/>
      <c r="D345" s="133"/>
      <c r="E345" s="134"/>
      <c r="F345" s="134"/>
      <c r="G345" s="135" t="s">
        <v>375</v>
      </c>
      <c r="H345" s="136"/>
      <c r="I345" s="137">
        <f>SUM(I342:I344)</f>
        <v>120150</v>
      </c>
    </row>
    <row r="346" spans="2:10" ht="15.95" customHeight="1" thickBot="1" x14ac:dyDescent="0.3">
      <c r="C346" s="147" t="s">
        <v>376</v>
      </c>
      <c r="D346" s="148" t="s">
        <v>377</v>
      </c>
      <c r="E346" s="149"/>
      <c r="F346" s="149"/>
      <c r="G346" s="150"/>
      <c r="H346" s="144">
        <f>IF(AND(D346&lt;&gt;"",F346&lt;&gt;""),IF(C346="",IF(F346="OH",VLOOKUP(D346,[1]UPAH!$B$3:$G$32,7,0),VLOOKUP(D346,[1]BAHAN!$A$2:$D$3,4,0)),0),0)</f>
        <v>0</v>
      </c>
      <c r="I346" s="126">
        <f>G346*H346</f>
        <v>0</v>
      </c>
    </row>
    <row r="347" spans="2:10" ht="15.95" customHeight="1" thickBot="1" x14ac:dyDescent="0.3">
      <c r="C347" s="132"/>
      <c r="D347" s="133"/>
      <c r="E347" s="134"/>
      <c r="F347" s="134"/>
      <c r="G347" s="135" t="s">
        <v>386</v>
      </c>
      <c r="H347" s="136"/>
      <c r="I347" s="137">
        <f>SUM(I346)</f>
        <v>0</v>
      </c>
    </row>
    <row r="348" spans="2:10" ht="15.95" customHeight="1" thickBot="1" x14ac:dyDescent="0.3">
      <c r="C348" s="147" t="s">
        <v>387</v>
      </c>
      <c r="D348" s="148" t="s">
        <v>388</v>
      </c>
      <c r="E348" s="149"/>
      <c r="F348" s="149"/>
      <c r="G348" s="150"/>
      <c r="H348" s="144">
        <f>IF(AND(D348&lt;&gt;"",F348&lt;&gt;""),IF(C348="",IF(F348="OH",VLOOKUP(D348,[1]UPAH!$B$3:$G$32,7,0),VLOOKUP(D348,[1]BAHAN!$A$2:$D$3,4,0)),0),0)</f>
        <v>0</v>
      </c>
      <c r="I348" s="126">
        <f>G348*H348</f>
        <v>0</v>
      </c>
    </row>
    <row r="349" spans="2:10" ht="15.95" customHeight="1" thickBot="1" x14ac:dyDescent="0.3">
      <c r="C349" s="132"/>
      <c r="D349" s="133"/>
      <c r="E349" s="134"/>
      <c r="F349" s="134"/>
      <c r="G349" s="135" t="s">
        <v>389</v>
      </c>
      <c r="H349" s="136"/>
      <c r="I349" s="137">
        <f>I348</f>
        <v>0</v>
      </c>
    </row>
    <row r="350" spans="2:10" ht="15.95" customHeight="1" x14ac:dyDescent="0.25">
      <c r="C350" s="158" t="s">
        <v>390</v>
      </c>
      <c r="D350" s="159" t="s">
        <v>391</v>
      </c>
      <c r="E350" s="160"/>
      <c r="F350" s="160"/>
      <c r="G350" s="161"/>
      <c r="H350" s="162">
        <f>IF(AND(D350&lt;&gt;"",F350&lt;&gt;""),IF(C350="",IF(F350="OH",VLOOKUP(D350,[1]UPAH!$B$3:$G$32,7,0),VLOOKUP(D350,[1]BAHAN!$A$2:$D$3,4,0)),0),0)</f>
        <v>0</v>
      </c>
      <c r="I350" s="126">
        <f>SUM(I342:I349)/2</f>
        <v>120150</v>
      </c>
    </row>
    <row r="351" spans="2:10" ht="15.95" customHeight="1" thickBot="1" x14ac:dyDescent="0.3">
      <c r="C351" s="147" t="s">
        <v>392</v>
      </c>
      <c r="D351" s="148" t="s">
        <v>393</v>
      </c>
      <c r="E351" s="149"/>
      <c r="F351" s="149"/>
      <c r="G351" s="164">
        <v>0.1</v>
      </c>
      <c r="H351" s="151"/>
      <c r="I351" s="146">
        <f>G351*I350</f>
        <v>12015</v>
      </c>
    </row>
    <row r="352" spans="2:10" ht="15.95" customHeight="1" thickBot="1" x14ac:dyDescent="0.3">
      <c r="C352" s="111" t="s">
        <v>394</v>
      </c>
      <c r="D352" s="112" t="s">
        <v>395</v>
      </c>
      <c r="E352" s="134"/>
      <c r="F352" s="134"/>
      <c r="G352" s="156"/>
      <c r="H352" s="136">
        <f>IF(AND(D352&lt;&gt;"",F352&lt;&gt;""),IF(C352="",IF(F352="OH",VLOOKUP(D352,[1]UPAH!$B$3:$G$32,7,0),VLOOKUP(D352,[1]BAHAN!$A$2:$D$3,4,0)),0),0)</f>
        <v>0</v>
      </c>
      <c r="I352" s="137">
        <f>ROUNDDOWN(I350+I351,0)</f>
        <v>132165</v>
      </c>
    </row>
    <row r="353" spans="2:10" ht="15.95" customHeight="1" x14ac:dyDescent="0.25">
      <c r="C353" s="109"/>
      <c r="D353" s="109"/>
      <c r="G353" s="157"/>
    </row>
    <row r="354" spans="2:10" ht="15.95" customHeight="1" thickBot="1" x14ac:dyDescent="0.3">
      <c r="B354" s="104" t="s">
        <v>469</v>
      </c>
      <c r="C354" s="109" t="s">
        <v>470</v>
      </c>
      <c r="G354" s="157"/>
      <c r="J354" s="110">
        <f>I366</f>
        <v>156904</v>
      </c>
    </row>
    <row r="355" spans="2:10" ht="15.95" customHeight="1" thickBot="1" x14ac:dyDescent="0.3">
      <c r="C355" s="111" t="s">
        <v>328</v>
      </c>
      <c r="D355" s="112" t="s">
        <v>359</v>
      </c>
      <c r="E355" s="113" t="s">
        <v>360</v>
      </c>
      <c r="F355" s="113" t="s">
        <v>330</v>
      </c>
      <c r="G355" s="114" t="s">
        <v>361</v>
      </c>
      <c r="H355" s="112" t="s">
        <v>362</v>
      </c>
      <c r="I355" s="115" t="s">
        <v>363</v>
      </c>
    </row>
    <row r="356" spans="2:10" ht="15.95" customHeight="1" x14ac:dyDescent="0.25">
      <c r="C356" s="116" t="s">
        <v>364</v>
      </c>
      <c r="D356" s="117" t="s">
        <v>365</v>
      </c>
      <c r="E356" s="118"/>
      <c r="F356" s="118"/>
      <c r="G356" s="165"/>
      <c r="H356" s="144">
        <f>IF(AND(D356&lt;&gt;"",F356&lt;&gt;""),IF(C356="",IF(F356="OH",VLOOKUP(D356,[1]UPAH!$B$3:$G$32,7,0),VLOOKUP(D356,[1]BAHAN!$A$2:$D$3,4,0)),0),0)</f>
        <v>0</v>
      </c>
      <c r="I356" s="126">
        <f>G356*H356</f>
        <v>0</v>
      </c>
    </row>
    <row r="357" spans="2:10" ht="15.95" customHeight="1" x14ac:dyDescent="0.25">
      <c r="C357" s="122"/>
      <c r="D357" s="117" t="s">
        <v>366</v>
      </c>
      <c r="E357" s="123" t="s">
        <v>367</v>
      </c>
      <c r="F357" s="123" t="s">
        <v>368</v>
      </c>
      <c r="G357" s="124">
        <v>1.05</v>
      </c>
      <c r="H357" s="125">
        <f>VLOOKUP(D357,Upah,8,FALSE)</f>
        <v>125000</v>
      </c>
      <c r="I357" s="126">
        <f>G357*H357</f>
        <v>131250</v>
      </c>
    </row>
    <row r="358" spans="2:10" ht="15.95" customHeight="1" thickBot="1" x14ac:dyDescent="0.3">
      <c r="C358" s="127"/>
      <c r="D358" s="128" t="s">
        <v>373</v>
      </c>
      <c r="E358" s="129" t="s">
        <v>374</v>
      </c>
      <c r="F358" s="129" t="s">
        <v>368</v>
      </c>
      <c r="G358" s="130">
        <v>6.7000000000000004E-2</v>
      </c>
      <c r="H358" s="125">
        <f>VLOOKUP(D358,Upah,8,FALSE)</f>
        <v>170000</v>
      </c>
      <c r="I358" s="126">
        <f>G358*H358</f>
        <v>11390</v>
      </c>
    </row>
    <row r="359" spans="2:10" ht="15.95" customHeight="1" thickBot="1" x14ac:dyDescent="0.3">
      <c r="C359" s="132"/>
      <c r="D359" s="133"/>
      <c r="E359" s="134"/>
      <c r="F359" s="134"/>
      <c r="G359" s="135" t="s">
        <v>375</v>
      </c>
      <c r="H359" s="136"/>
      <c r="I359" s="137">
        <f>SUM(I356:I358)</f>
        <v>142640</v>
      </c>
    </row>
    <row r="360" spans="2:10" ht="15.95" customHeight="1" thickBot="1" x14ac:dyDescent="0.3">
      <c r="C360" s="147" t="s">
        <v>376</v>
      </c>
      <c r="D360" s="148" t="s">
        <v>377</v>
      </c>
      <c r="E360" s="149"/>
      <c r="F360" s="149"/>
      <c r="G360" s="150"/>
      <c r="H360" s="144">
        <f>IF(AND(D360&lt;&gt;"",F360&lt;&gt;""),IF(C360="",IF(F360="OH",VLOOKUP(D360,[1]UPAH!$B$3:$G$32,7,0),VLOOKUP(D360,[1]BAHAN!$A$2:$D$3,4,0)),0),0)</f>
        <v>0</v>
      </c>
      <c r="I360" s="126">
        <f>G360*H360</f>
        <v>0</v>
      </c>
    </row>
    <row r="361" spans="2:10" ht="15.95" customHeight="1" thickBot="1" x14ac:dyDescent="0.3">
      <c r="C361" s="132"/>
      <c r="D361" s="133"/>
      <c r="E361" s="134"/>
      <c r="F361" s="134"/>
      <c r="G361" s="135" t="s">
        <v>386</v>
      </c>
      <c r="H361" s="136"/>
      <c r="I361" s="137">
        <f>SUM(I360)</f>
        <v>0</v>
      </c>
    </row>
    <row r="362" spans="2:10" ht="15.95" customHeight="1" thickBot="1" x14ac:dyDescent="0.3">
      <c r="C362" s="147" t="s">
        <v>387</v>
      </c>
      <c r="D362" s="148" t="s">
        <v>388</v>
      </c>
      <c r="E362" s="149"/>
      <c r="F362" s="149"/>
      <c r="G362" s="150"/>
      <c r="H362" s="144">
        <f>IF(AND(D362&lt;&gt;"",F362&lt;&gt;""),IF(C362="",IF(F362="OH",VLOOKUP(D362,[1]UPAH!$B$3:$G$32,7,0),VLOOKUP(D362,[1]BAHAN!$A$2:$D$3,4,0)),0),0)</f>
        <v>0</v>
      </c>
      <c r="I362" s="126">
        <f>G362*H362</f>
        <v>0</v>
      </c>
    </row>
    <row r="363" spans="2:10" ht="15.95" customHeight="1" thickBot="1" x14ac:dyDescent="0.3">
      <c r="C363" s="132"/>
      <c r="D363" s="133"/>
      <c r="E363" s="134"/>
      <c r="F363" s="134"/>
      <c r="G363" s="135" t="s">
        <v>389</v>
      </c>
      <c r="H363" s="136"/>
      <c r="I363" s="137">
        <f>I362</f>
        <v>0</v>
      </c>
    </row>
    <row r="364" spans="2:10" ht="15.95" customHeight="1" x14ac:dyDescent="0.25">
      <c r="C364" s="158" t="s">
        <v>390</v>
      </c>
      <c r="D364" s="159" t="s">
        <v>391</v>
      </c>
      <c r="E364" s="160"/>
      <c r="F364" s="160"/>
      <c r="G364" s="161"/>
      <c r="H364" s="162">
        <f>IF(AND(D364&lt;&gt;"",F364&lt;&gt;""),IF(C364="",IF(F364="OH",VLOOKUP(D364,[1]UPAH!$B$3:$G$32,7,0),VLOOKUP(D364,[1]BAHAN!$A$2:$D$3,4,0)),0),0)</f>
        <v>0</v>
      </c>
      <c r="I364" s="126">
        <f>SUM(I356:I363)/2</f>
        <v>142640</v>
      </c>
    </row>
    <row r="365" spans="2:10" ht="15.95" customHeight="1" thickBot="1" x14ac:dyDescent="0.3">
      <c r="C365" s="147" t="s">
        <v>392</v>
      </c>
      <c r="D365" s="148" t="s">
        <v>393</v>
      </c>
      <c r="E365" s="149"/>
      <c r="F365" s="149"/>
      <c r="G365" s="164">
        <v>0.1</v>
      </c>
      <c r="H365" s="151"/>
      <c r="I365" s="146">
        <f>G365*I364</f>
        <v>14264</v>
      </c>
    </row>
    <row r="366" spans="2:10" ht="15.95" customHeight="1" thickBot="1" x14ac:dyDescent="0.3">
      <c r="C366" s="111" t="s">
        <v>394</v>
      </c>
      <c r="D366" s="112" t="s">
        <v>395</v>
      </c>
      <c r="E366" s="134"/>
      <c r="F366" s="134"/>
      <c r="G366" s="156"/>
      <c r="H366" s="136">
        <f>IF(AND(D366&lt;&gt;"",F366&lt;&gt;""),IF(C366="",IF(F366="OH",VLOOKUP(D366,[1]UPAH!$B$3:$G$32,7,0),VLOOKUP(D366,[1]BAHAN!$A$2:$D$3,4,0)),0),0)</f>
        <v>0</v>
      </c>
      <c r="I366" s="137">
        <f>ROUNDDOWN(I364+I365,0)</f>
        <v>156904</v>
      </c>
    </row>
    <row r="367" spans="2:10" ht="15.95" customHeight="1" x14ac:dyDescent="0.25">
      <c r="C367" s="109"/>
      <c r="D367" s="109"/>
      <c r="G367" s="157"/>
    </row>
    <row r="368" spans="2:10" ht="15.95" customHeight="1" thickBot="1" x14ac:dyDescent="0.3">
      <c r="B368" s="104" t="s">
        <v>471</v>
      </c>
      <c r="C368" s="109" t="s">
        <v>472</v>
      </c>
      <c r="G368" s="157"/>
      <c r="J368" s="110">
        <f>I380</f>
        <v>143484</v>
      </c>
    </row>
    <row r="369" spans="2:10" ht="15.95" customHeight="1" thickBot="1" x14ac:dyDescent="0.3">
      <c r="C369" s="111" t="s">
        <v>328</v>
      </c>
      <c r="D369" s="112" t="s">
        <v>359</v>
      </c>
      <c r="E369" s="113" t="s">
        <v>360</v>
      </c>
      <c r="F369" s="113" t="s">
        <v>330</v>
      </c>
      <c r="G369" s="114" t="s">
        <v>361</v>
      </c>
      <c r="H369" s="112" t="s">
        <v>362</v>
      </c>
      <c r="I369" s="115" t="s">
        <v>363</v>
      </c>
    </row>
    <row r="370" spans="2:10" ht="15.95" customHeight="1" x14ac:dyDescent="0.25">
      <c r="C370" s="116" t="s">
        <v>364</v>
      </c>
      <c r="D370" s="117" t="s">
        <v>365</v>
      </c>
      <c r="E370" s="118"/>
      <c r="F370" s="118"/>
      <c r="G370" s="165"/>
      <c r="H370" s="144">
        <f>IF(AND(D370&lt;&gt;"",F370&lt;&gt;""),IF(C370="",IF(F370="OH",VLOOKUP(D370,[1]UPAH!$B$3:$G$32,7,0),VLOOKUP(D370,[1]BAHAN!$A$2:$D$3,4,0)),0),0)</f>
        <v>0</v>
      </c>
      <c r="I370" s="126">
        <f>G370*H370</f>
        <v>0</v>
      </c>
    </row>
    <row r="371" spans="2:10" ht="15.95" customHeight="1" x14ac:dyDescent="0.25">
      <c r="C371" s="122"/>
      <c r="D371" s="117" t="s">
        <v>366</v>
      </c>
      <c r="E371" s="123" t="s">
        <v>367</v>
      </c>
      <c r="F371" s="123" t="s">
        <v>368</v>
      </c>
      <c r="G371" s="124">
        <v>1</v>
      </c>
      <c r="H371" s="125">
        <f>VLOOKUP(D371,Upah,8,FALSE)</f>
        <v>125000</v>
      </c>
      <c r="I371" s="126">
        <f>G371*H371</f>
        <v>125000</v>
      </c>
    </row>
    <row r="372" spans="2:10" ht="15.95" customHeight="1" thickBot="1" x14ac:dyDescent="0.3">
      <c r="C372" s="127"/>
      <c r="D372" s="128" t="s">
        <v>373</v>
      </c>
      <c r="E372" s="129" t="s">
        <v>374</v>
      </c>
      <c r="F372" s="129" t="s">
        <v>368</v>
      </c>
      <c r="G372" s="130">
        <v>3.2000000000000001E-2</v>
      </c>
      <c r="H372" s="125">
        <f>VLOOKUP(D372,Upah,8,FALSE)</f>
        <v>170000</v>
      </c>
      <c r="I372" s="126">
        <f>G372*H372</f>
        <v>5440</v>
      </c>
    </row>
    <row r="373" spans="2:10" ht="15.95" customHeight="1" thickBot="1" x14ac:dyDescent="0.3">
      <c r="C373" s="132"/>
      <c r="D373" s="133"/>
      <c r="E373" s="134"/>
      <c r="F373" s="134"/>
      <c r="G373" s="135" t="s">
        <v>375</v>
      </c>
      <c r="H373" s="136"/>
      <c r="I373" s="137">
        <f>SUM(I370:I372)</f>
        <v>130440</v>
      </c>
    </row>
    <row r="374" spans="2:10" ht="15.95" customHeight="1" thickBot="1" x14ac:dyDescent="0.3">
      <c r="C374" s="147" t="s">
        <v>376</v>
      </c>
      <c r="D374" s="148" t="s">
        <v>377</v>
      </c>
      <c r="E374" s="149"/>
      <c r="F374" s="149"/>
      <c r="G374" s="150"/>
      <c r="H374" s="144">
        <f>IF(AND(D374&lt;&gt;"",F374&lt;&gt;""),IF(C374="",IF(F374="OH",VLOOKUP(D374,[1]UPAH!$B$3:$G$32,7,0),VLOOKUP(D374,[1]BAHAN!$A$2:$D$3,4,0)),0),0)</f>
        <v>0</v>
      </c>
      <c r="I374" s="126">
        <f>G374*H374</f>
        <v>0</v>
      </c>
    </row>
    <row r="375" spans="2:10" ht="15.95" customHeight="1" thickBot="1" x14ac:dyDescent="0.3">
      <c r="C375" s="132"/>
      <c r="D375" s="133"/>
      <c r="E375" s="134"/>
      <c r="F375" s="134"/>
      <c r="G375" s="135" t="s">
        <v>386</v>
      </c>
      <c r="H375" s="136"/>
      <c r="I375" s="137">
        <f>SUM(I374)</f>
        <v>0</v>
      </c>
    </row>
    <row r="376" spans="2:10" ht="15.95" customHeight="1" thickBot="1" x14ac:dyDescent="0.3">
      <c r="C376" s="147" t="s">
        <v>387</v>
      </c>
      <c r="D376" s="148" t="s">
        <v>388</v>
      </c>
      <c r="E376" s="149"/>
      <c r="F376" s="149"/>
      <c r="G376" s="150"/>
      <c r="H376" s="144">
        <f>IF(AND(D376&lt;&gt;"",F376&lt;&gt;""),IF(C376="",IF(F376="OH",VLOOKUP(D376,[1]UPAH!$B$3:$G$32,7,0),VLOOKUP(D376,[1]BAHAN!$A$2:$D$3,4,0)),0),0)</f>
        <v>0</v>
      </c>
      <c r="I376" s="126">
        <f>G376*H376</f>
        <v>0</v>
      </c>
    </row>
    <row r="377" spans="2:10" ht="15.95" customHeight="1" thickBot="1" x14ac:dyDescent="0.3">
      <c r="C377" s="132"/>
      <c r="D377" s="133"/>
      <c r="E377" s="134"/>
      <c r="F377" s="134"/>
      <c r="G377" s="135" t="s">
        <v>389</v>
      </c>
      <c r="H377" s="136"/>
      <c r="I377" s="137">
        <f>I376</f>
        <v>0</v>
      </c>
    </row>
    <row r="378" spans="2:10" ht="15.95" customHeight="1" x14ac:dyDescent="0.25">
      <c r="C378" s="158" t="s">
        <v>390</v>
      </c>
      <c r="D378" s="159" t="s">
        <v>391</v>
      </c>
      <c r="E378" s="160"/>
      <c r="F378" s="160"/>
      <c r="G378" s="161"/>
      <c r="H378" s="162">
        <f>IF(AND(D378&lt;&gt;"",F378&lt;&gt;""),IF(C378="",IF(F378="OH",VLOOKUP(D378,[1]UPAH!$B$3:$G$32,7,0),VLOOKUP(D378,[1]BAHAN!$A$2:$D$3,4,0)),0),0)</f>
        <v>0</v>
      </c>
      <c r="I378" s="126">
        <f>SUM(I370:I377)/2</f>
        <v>130440</v>
      </c>
    </row>
    <row r="379" spans="2:10" ht="15.95" customHeight="1" thickBot="1" x14ac:dyDescent="0.3">
      <c r="C379" s="147" t="s">
        <v>392</v>
      </c>
      <c r="D379" s="148" t="s">
        <v>393</v>
      </c>
      <c r="E379" s="149"/>
      <c r="F379" s="149"/>
      <c r="G379" s="164">
        <v>0.1</v>
      </c>
      <c r="H379" s="151"/>
      <c r="I379" s="146">
        <f>G379*I378</f>
        <v>13044</v>
      </c>
    </row>
    <row r="380" spans="2:10" ht="15.95" customHeight="1" thickBot="1" x14ac:dyDescent="0.3">
      <c r="C380" s="111" t="s">
        <v>394</v>
      </c>
      <c r="D380" s="112" t="s">
        <v>395</v>
      </c>
      <c r="E380" s="134"/>
      <c r="F380" s="134"/>
      <c r="G380" s="156"/>
      <c r="H380" s="136">
        <f>IF(AND(D380&lt;&gt;"",F380&lt;&gt;""),IF(C380="",IF(F380="OH",VLOOKUP(D380,[1]UPAH!$B$3:$G$32,7,0),VLOOKUP(D380,[1]BAHAN!$A$2:$D$3,4,0)),0),0)</f>
        <v>0</v>
      </c>
      <c r="I380" s="137">
        <f>ROUNDDOWN(I378+I379,0)</f>
        <v>143484</v>
      </c>
    </row>
    <row r="381" spans="2:10" ht="15.95" customHeight="1" x14ac:dyDescent="0.25">
      <c r="C381" s="109"/>
      <c r="D381" s="109"/>
      <c r="G381" s="157"/>
    </row>
    <row r="382" spans="2:10" ht="15.95" customHeight="1" thickBot="1" x14ac:dyDescent="0.3">
      <c r="B382" s="104" t="s">
        <v>473</v>
      </c>
      <c r="C382" s="109" t="s">
        <v>474</v>
      </c>
      <c r="G382" s="157"/>
      <c r="J382" s="110">
        <f>I394</f>
        <v>217470</v>
      </c>
    </row>
    <row r="383" spans="2:10" ht="15.95" customHeight="1" thickBot="1" x14ac:dyDescent="0.3">
      <c r="C383" s="111" t="s">
        <v>328</v>
      </c>
      <c r="D383" s="112" t="s">
        <v>359</v>
      </c>
      <c r="E383" s="113" t="s">
        <v>360</v>
      </c>
      <c r="F383" s="113" t="s">
        <v>330</v>
      </c>
      <c r="G383" s="114" t="s">
        <v>361</v>
      </c>
      <c r="H383" s="112" t="s">
        <v>362</v>
      </c>
      <c r="I383" s="115" t="s">
        <v>363</v>
      </c>
    </row>
    <row r="384" spans="2:10" ht="15.95" customHeight="1" x14ac:dyDescent="0.25">
      <c r="C384" s="116" t="s">
        <v>364</v>
      </c>
      <c r="D384" s="117" t="s">
        <v>365</v>
      </c>
      <c r="E384" s="118"/>
      <c r="F384" s="118"/>
      <c r="G384" s="165"/>
      <c r="H384" s="144">
        <f>IF(AND(D384&lt;&gt;"",F384&lt;&gt;""),IF(C384="",IF(F384="OH",VLOOKUP(D384,[1]UPAH!$B$3:$G$32,7,0),VLOOKUP(D384,[1]BAHAN!$A$2:$D$3,4,0)),0),0)</f>
        <v>0</v>
      </c>
      <c r="I384" s="126">
        <f>G384*H384</f>
        <v>0</v>
      </c>
    </row>
    <row r="385" spans="2:10" ht="15.95" customHeight="1" x14ac:dyDescent="0.25">
      <c r="C385" s="122"/>
      <c r="D385" s="117" t="s">
        <v>366</v>
      </c>
      <c r="E385" s="123" t="s">
        <v>367</v>
      </c>
      <c r="F385" s="123" t="s">
        <v>368</v>
      </c>
      <c r="G385" s="124">
        <v>1.5</v>
      </c>
      <c r="H385" s="125">
        <f>VLOOKUP(D385,Upah,8,FALSE)</f>
        <v>125000</v>
      </c>
      <c r="I385" s="126">
        <f>G385*H385</f>
        <v>187500</v>
      </c>
    </row>
    <row r="386" spans="2:10" ht="15.95" customHeight="1" thickBot="1" x14ac:dyDescent="0.3">
      <c r="C386" s="127"/>
      <c r="D386" s="128" t="s">
        <v>373</v>
      </c>
      <c r="E386" s="129" t="s">
        <v>374</v>
      </c>
      <c r="F386" s="129" t="s">
        <v>368</v>
      </c>
      <c r="G386" s="130">
        <v>0.06</v>
      </c>
      <c r="H386" s="125">
        <f>VLOOKUP(D386,Upah,8,FALSE)</f>
        <v>170000</v>
      </c>
      <c r="I386" s="126">
        <f>G386*H386</f>
        <v>10200</v>
      </c>
    </row>
    <row r="387" spans="2:10" ht="15.95" customHeight="1" thickBot="1" x14ac:dyDescent="0.3">
      <c r="C387" s="132"/>
      <c r="D387" s="133"/>
      <c r="E387" s="134"/>
      <c r="F387" s="134"/>
      <c r="G387" s="135" t="s">
        <v>375</v>
      </c>
      <c r="H387" s="136"/>
      <c r="I387" s="137">
        <f>SUM(I384:I386)</f>
        <v>197700</v>
      </c>
    </row>
    <row r="388" spans="2:10" ht="15.95" customHeight="1" thickBot="1" x14ac:dyDescent="0.3">
      <c r="C388" s="147" t="s">
        <v>376</v>
      </c>
      <c r="D388" s="148" t="s">
        <v>377</v>
      </c>
      <c r="E388" s="149"/>
      <c r="F388" s="149"/>
      <c r="G388" s="150"/>
      <c r="H388" s="144">
        <f>IF(AND(D388&lt;&gt;"",F388&lt;&gt;""),IF(C388="",IF(F388="OH",VLOOKUP(D388,[1]UPAH!$B$3:$G$32,7,0),VLOOKUP(D388,[1]BAHAN!$A$2:$D$3,4,0)),0),0)</f>
        <v>0</v>
      </c>
      <c r="I388" s="126">
        <f>G388*H388</f>
        <v>0</v>
      </c>
    </row>
    <row r="389" spans="2:10" ht="15.95" customHeight="1" thickBot="1" x14ac:dyDescent="0.3">
      <c r="C389" s="132"/>
      <c r="D389" s="133"/>
      <c r="E389" s="134"/>
      <c r="F389" s="134"/>
      <c r="G389" s="135" t="s">
        <v>386</v>
      </c>
      <c r="H389" s="136"/>
      <c r="I389" s="137">
        <f>SUM(I388)</f>
        <v>0</v>
      </c>
    </row>
    <row r="390" spans="2:10" ht="15.95" customHeight="1" thickBot="1" x14ac:dyDescent="0.3">
      <c r="C390" s="147" t="s">
        <v>387</v>
      </c>
      <c r="D390" s="148" t="s">
        <v>388</v>
      </c>
      <c r="E390" s="149"/>
      <c r="F390" s="149"/>
      <c r="G390" s="150"/>
      <c r="H390" s="144">
        <f>IF(AND(D390&lt;&gt;"",F390&lt;&gt;""),IF(C390="",IF(F390="OH",VLOOKUP(D390,[1]UPAH!$B$3:$G$32,7,0),VLOOKUP(D390,[1]BAHAN!$A$2:$D$3,4,0)),0),0)</f>
        <v>0</v>
      </c>
      <c r="I390" s="126">
        <f>G390*H390</f>
        <v>0</v>
      </c>
    </row>
    <row r="391" spans="2:10" ht="15.95" customHeight="1" thickBot="1" x14ac:dyDescent="0.3">
      <c r="C391" s="132"/>
      <c r="D391" s="133"/>
      <c r="E391" s="134"/>
      <c r="F391" s="134"/>
      <c r="G391" s="135" t="s">
        <v>389</v>
      </c>
      <c r="H391" s="136"/>
      <c r="I391" s="137">
        <f>I390</f>
        <v>0</v>
      </c>
    </row>
    <row r="392" spans="2:10" ht="15.95" customHeight="1" x14ac:dyDescent="0.25">
      <c r="C392" s="158" t="s">
        <v>390</v>
      </c>
      <c r="D392" s="159" t="s">
        <v>391</v>
      </c>
      <c r="E392" s="160"/>
      <c r="F392" s="160"/>
      <c r="G392" s="161"/>
      <c r="H392" s="162">
        <f>IF(AND(D392&lt;&gt;"",F392&lt;&gt;""),IF(C392="",IF(F392="OH",VLOOKUP(D392,[1]UPAH!$B$3:$G$32,7,0),VLOOKUP(D392,[1]BAHAN!$A$2:$D$3,4,0)),0),0)</f>
        <v>0</v>
      </c>
      <c r="I392" s="126">
        <f>SUM(I384:I391)/2</f>
        <v>197700</v>
      </c>
    </row>
    <row r="393" spans="2:10" ht="15.95" customHeight="1" thickBot="1" x14ac:dyDescent="0.3">
      <c r="C393" s="147" t="s">
        <v>392</v>
      </c>
      <c r="D393" s="148" t="s">
        <v>393</v>
      </c>
      <c r="E393" s="149"/>
      <c r="F393" s="149"/>
      <c r="G393" s="164">
        <v>0.1</v>
      </c>
      <c r="H393" s="151"/>
      <c r="I393" s="146">
        <f>G393*I392</f>
        <v>19770</v>
      </c>
    </row>
    <row r="394" spans="2:10" ht="15.95" customHeight="1" thickBot="1" x14ac:dyDescent="0.3">
      <c r="C394" s="111" t="s">
        <v>394</v>
      </c>
      <c r="D394" s="112" t="s">
        <v>395</v>
      </c>
      <c r="E394" s="134"/>
      <c r="F394" s="134"/>
      <c r="G394" s="156"/>
      <c r="H394" s="136">
        <f>IF(AND(D394&lt;&gt;"",F394&lt;&gt;""),IF(C394="",IF(F394="OH",VLOOKUP(D394,[1]UPAH!$B$3:$G$32,7,0),VLOOKUP(D394,[1]BAHAN!$A$2:$D$3,4,0)),0),0)</f>
        <v>0</v>
      </c>
      <c r="I394" s="137">
        <f>ROUNDDOWN(I392+I393,0)</f>
        <v>217470</v>
      </c>
    </row>
    <row r="395" spans="2:10" ht="15.95" customHeight="1" x14ac:dyDescent="0.25">
      <c r="C395" s="109"/>
      <c r="D395" s="109"/>
      <c r="G395" s="157"/>
    </row>
    <row r="396" spans="2:10" ht="15.95" customHeight="1" thickBot="1" x14ac:dyDescent="0.3">
      <c r="B396" s="104" t="s">
        <v>475</v>
      </c>
      <c r="C396" s="109" t="s">
        <v>476</v>
      </c>
      <c r="G396" s="157"/>
      <c r="J396" s="110">
        <f>I408</f>
        <v>173415</v>
      </c>
    </row>
    <row r="397" spans="2:10" ht="15.95" customHeight="1" thickBot="1" x14ac:dyDescent="0.3">
      <c r="C397" s="111" t="s">
        <v>328</v>
      </c>
      <c r="D397" s="112" t="s">
        <v>359</v>
      </c>
      <c r="E397" s="113" t="s">
        <v>360</v>
      </c>
      <c r="F397" s="113" t="s">
        <v>330</v>
      </c>
      <c r="G397" s="114" t="s">
        <v>361</v>
      </c>
      <c r="H397" s="112" t="s">
        <v>362</v>
      </c>
      <c r="I397" s="115" t="s">
        <v>363</v>
      </c>
    </row>
    <row r="398" spans="2:10" ht="15.95" customHeight="1" x14ac:dyDescent="0.25">
      <c r="C398" s="116" t="s">
        <v>364</v>
      </c>
      <c r="D398" s="117" t="s">
        <v>365</v>
      </c>
      <c r="E398" s="118"/>
      <c r="F398" s="118"/>
      <c r="G398" s="165"/>
      <c r="H398" s="144">
        <f>IF(AND(D398&lt;&gt;"",F398&lt;&gt;""),IF(C398="",IF(F398="OH",VLOOKUP(D398,[1]UPAH!$B$3:$G$32,7,0),VLOOKUP(D398,[1]BAHAN!$A$2:$D$3,4,0)),0),0)</f>
        <v>0</v>
      </c>
      <c r="I398" s="126">
        <f>G398*H398</f>
        <v>0</v>
      </c>
    </row>
    <row r="399" spans="2:10" ht="15.95" customHeight="1" x14ac:dyDescent="0.25">
      <c r="C399" s="122"/>
      <c r="D399" s="117" t="s">
        <v>366</v>
      </c>
      <c r="E399" s="123" t="s">
        <v>367</v>
      </c>
      <c r="F399" s="123" t="s">
        <v>368</v>
      </c>
      <c r="G399" s="124">
        <v>1.2</v>
      </c>
      <c r="H399" s="125">
        <f>VLOOKUP(D399,Upah,8,FALSE)</f>
        <v>125000</v>
      </c>
      <c r="I399" s="126">
        <f>G399*H399</f>
        <v>150000</v>
      </c>
    </row>
    <row r="400" spans="2:10" ht="15.95" customHeight="1" thickBot="1" x14ac:dyDescent="0.3">
      <c r="C400" s="127"/>
      <c r="D400" s="128" t="s">
        <v>373</v>
      </c>
      <c r="E400" s="129" t="s">
        <v>374</v>
      </c>
      <c r="F400" s="129" t="s">
        <v>368</v>
      </c>
      <c r="G400" s="130">
        <v>4.4999999999999998E-2</v>
      </c>
      <c r="H400" s="125">
        <f>VLOOKUP(D400,Upah,8,FALSE)</f>
        <v>170000</v>
      </c>
      <c r="I400" s="126">
        <f>G400*H400</f>
        <v>7650</v>
      </c>
    </row>
    <row r="401" spans="2:10" ht="15.95" customHeight="1" thickBot="1" x14ac:dyDescent="0.3">
      <c r="C401" s="132"/>
      <c r="D401" s="133"/>
      <c r="E401" s="134"/>
      <c r="F401" s="134"/>
      <c r="G401" s="135" t="s">
        <v>375</v>
      </c>
      <c r="H401" s="136"/>
      <c r="I401" s="137">
        <f>SUM(I398:I400)</f>
        <v>157650</v>
      </c>
    </row>
    <row r="402" spans="2:10" ht="15.95" customHeight="1" thickBot="1" x14ac:dyDescent="0.3">
      <c r="C402" s="147" t="s">
        <v>376</v>
      </c>
      <c r="D402" s="148" t="s">
        <v>377</v>
      </c>
      <c r="E402" s="149"/>
      <c r="F402" s="149"/>
      <c r="G402" s="150"/>
      <c r="H402" s="144">
        <f>IF(AND(D402&lt;&gt;"",F402&lt;&gt;""),IF(C402="",IF(F402="OH",VLOOKUP(D402,[1]UPAH!$B$3:$G$32,7,0),VLOOKUP(D402,[1]BAHAN!$A$2:$D$3,4,0)),0),0)</f>
        <v>0</v>
      </c>
      <c r="I402" s="126">
        <f>G402*H402</f>
        <v>0</v>
      </c>
    </row>
    <row r="403" spans="2:10" ht="15.95" customHeight="1" thickBot="1" x14ac:dyDescent="0.3">
      <c r="C403" s="132"/>
      <c r="D403" s="133"/>
      <c r="E403" s="134"/>
      <c r="F403" s="134"/>
      <c r="G403" s="135" t="s">
        <v>386</v>
      </c>
      <c r="H403" s="136"/>
      <c r="I403" s="137">
        <f>SUM(I402)</f>
        <v>0</v>
      </c>
    </row>
    <row r="404" spans="2:10" ht="15.95" customHeight="1" thickBot="1" x14ac:dyDescent="0.3">
      <c r="C404" s="147" t="s">
        <v>387</v>
      </c>
      <c r="D404" s="148" t="s">
        <v>388</v>
      </c>
      <c r="E404" s="149"/>
      <c r="F404" s="149"/>
      <c r="G404" s="150"/>
      <c r="H404" s="144">
        <f>IF(AND(D404&lt;&gt;"",F404&lt;&gt;""),IF(C404="",IF(F404="OH",VLOOKUP(D404,[1]UPAH!$B$3:$G$32,7,0),VLOOKUP(D404,[1]BAHAN!$A$2:$D$3,4,0)),0),0)</f>
        <v>0</v>
      </c>
      <c r="I404" s="126">
        <f>G404*H404</f>
        <v>0</v>
      </c>
    </row>
    <row r="405" spans="2:10" ht="15.95" customHeight="1" thickBot="1" x14ac:dyDescent="0.3">
      <c r="C405" s="132"/>
      <c r="D405" s="133"/>
      <c r="E405" s="134"/>
      <c r="F405" s="134"/>
      <c r="G405" s="135" t="s">
        <v>389</v>
      </c>
      <c r="H405" s="136"/>
      <c r="I405" s="137">
        <f>I404</f>
        <v>0</v>
      </c>
    </row>
    <row r="406" spans="2:10" ht="15.95" customHeight="1" x14ac:dyDescent="0.25">
      <c r="C406" s="158" t="s">
        <v>390</v>
      </c>
      <c r="D406" s="159" t="s">
        <v>391</v>
      </c>
      <c r="E406" s="160"/>
      <c r="F406" s="160"/>
      <c r="G406" s="161"/>
      <c r="H406" s="162">
        <f>IF(AND(D406&lt;&gt;"",F406&lt;&gt;""),IF(C406="",IF(F406="OH",VLOOKUP(D406,[1]UPAH!$B$3:$G$32,7,0),VLOOKUP(D406,[1]BAHAN!$A$2:$D$3,4,0)),0),0)</f>
        <v>0</v>
      </c>
      <c r="I406" s="126">
        <f>SUM(I398:I405)/2</f>
        <v>157650</v>
      </c>
    </row>
    <row r="407" spans="2:10" ht="15.95" customHeight="1" thickBot="1" x14ac:dyDescent="0.3">
      <c r="C407" s="147" t="s">
        <v>392</v>
      </c>
      <c r="D407" s="148" t="s">
        <v>393</v>
      </c>
      <c r="E407" s="149"/>
      <c r="F407" s="149"/>
      <c r="G407" s="164">
        <v>0.1</v>
      </c>
      <c r="H407" s="151"/>
      <c r="I407" s="146">
        <f>G407*I406</f>
        <v>15765</v>
      </c>
    </row>
    <row r="408" spans="2:10" ht="15.95" customHeight="1" thickBot="1" x14ac:dyDescent="0.3">
      <c r="C408" s="111" t="s">
        <v>394</v>
      </c>
      <c r="D408" s="112" t="s">
        <v>395</v>
      </c>
      <c r="E408" s="134"/>
      <c r="F408" s="134"/>
      <c r="G408" s="156"/>
      <c r="H408" s="136">
        <f>IF(AND(D408&lt;&gt;"",F408&lt;&gt;""),IF(C408="",IF(F408="OH",VLOOKUP(D408,[1]UPAH!$B$3:$G$32,7,0),VLOOKUP(D408,[1]BAHAN!$A$2:$D$3,4,0)),0),0)</f>
        <v>0</v>
      </c>
      <c r="I408" s="137">
        <f>ROUNDDOWN(I406+I407,0)</f>
        <v>173415</v>
      </c>
    </row>
    <row r="409" spans="2:10" ht="15.95" customHeight="1" x14ac:dyDescent="0.25">
      <c r="C409" s="109"/>
      <c r="D409" s="109"/>
      <c r="G409" s="157"/>
    </row>
    <row r="410" spans="2:10" ht="15.95" customHeight="1" thickBot="1" x14ac:dyDescent="0.3">
      <c r="B410" s="104" t="s">
        <v>477</v>
      </c>
      <c r="C410" s="104" t="s">
        <v>478</v>
      </c>
      <c r="D410" s="109"/>
      <c r="G410" s="157"/>
      <c r="J410" s="110">
        <f>I422</f>
        <v>7810</v>
      </c>
    </row>
    <row r="411" spans="2:10" ht="15.95" customHeight="1" thickBot="1" x14ac:dyDescent="0.3">
      <c r="C411" s="111" t="s">
        <v>328</v>
      </c>
      <c r="D411" s="112" t="s">
        <v>359</v>
      </c>
      <c r="E411" s="113" t="s">
        <v>360</v>
      </c>
      <c r="F411" s="113" t="s">
        <v>330</v>
      </c>
      <c r="G411" s="114" t="s">
        <v>361</v>
      </c>
      <c r="H411" s="112" t="s">
        <v>362</v>
      </c>
      <c r="I411" s="115" t="s">
        <v>363</v>
      </c>
    </row>
    <row r="412" spans="2:10" ht="15.95" customHeight="1" x14ac:dyDescent="0.25">
      <c r="C412" s="116" t="s">
        <v>364</v>
      </c>
      <c r="D412" s="117" t="s">
        <v>365</v>
      </c>
      <c r="E412" s="118"/>
      <c r="F412" s="118"/>
      <c r="G412" s="165"/>
      <c r="H412" s="144">
        <f>IF(AND(D412&lt;&gt;"",F412&lt;&gt;""),IF(C412="",IF(F412="OH",VLOOKUP(D412,[1]UPAH!$B$3:$G$32,7,0),VLOOKUP(D412,[1]BAHAN!$A$2:$D$3,4,0)),0),0)</f>
        <v>0</v>
      </c>
      <c r="I412" s="126">
        <f>G412*H412</f>
        <v>0</v>
      </c>
    </row>
    <row r="413" spans="2:10" ht="15.95" customHeight="1" x14ac:dyDescent="0.25">
      <c r="C413" s="122"/>
      <c r="D413" s="117" t="s">
        <v>366</v>
      </c>
      <c r="E413" s="123" t="s">
        <v>367</v>
      </c>
      <c r="F413" s="123" t="s">
        <v>368</v>
      </c>
      <c r="G413" s="124">
        <v>0.05</v>
      </c>
      <c r="H413" s="125">
        <f>VLOOKUP(D413,Upah,8,FALSE)</f>
        <v>125000</v>
      </c>
      <c r="I413" s="126">
        <f>G413*H413</f>
        <v>6250</v>
      </c>
    </row>
    <row r="414" spans="2:10" ht="15.95" customHeight="1" thickBot="1" x14ac:dyDescent="0.3">
      <c r="C414" s="127"/>
      <c r="D414" s="128" t="s">
        <v>373</v>
      </c>
      <c r="E414" s="129" t="s">
        <v>374</v>
      </c>
      <c r="F414" s="129" t="s">
        <v>368</v>
      </c>
      <c r="G414" s="130">
        <v>5.0000000000000001E-3</v>
      </c>
      <c r="H414" s="125">
        <f>VLOOKUP(D414,Upah,8,FALSE)</f>
        <v>170000</v>
      </c>
      <c r="I414" s="126">
        <f>G414*H414</f>
        <v>850</v>
      </c>
    </row>
    <row r="415" spans="2:10" ht="15.95" customHeight="1" thickBot="1" x14ac:dyDescent="0.3">
      <c r="C415" s="132"/>
      <c r="D415" s="133"/>
      <c r="E415" s="134"/>
      <c r="F415" s="134"/>
      <c r="G415" s="135" t="s">
        <v>375</v>
      </c>
      <c r="H415" s="136"/>
      <c r="I415" s="137">
        <f>SUM(I412:I414)</f>
        <v>7100</v>
      </c>
    </row>
    <row r="416" spans="2:10" ht="15.95" customHeight="1" thickBot="1" x14ac:dyDescent="0.3">
      <c r="C416" s="147" t="s">
        <v>376</v>
      </c>
      <c r="D416" s="148" t="s">
        <v>377</v>
      </c>
      <c r="E416" s="149"/>
      <c r="F416" s="149"/>
      <c r="G416" s="150"/>
      <c r="H416" s="144">
        <f>IF(AND(D416&lt;&gt;"",F416&lt;&gt;""),IF(C416="",IF(F416="OH",VLOOKUP(D416,[1]UPAH!$B$3:$G$32,7,0),VLOOKUP(D416,[1]BAHAN!$A$2:$D$3,4,0)),0),0)</f>
        <v>0</v>
      </c>
      <c r="I416" s="126">
        <f>G416*H416</f>
        <v>0</v>
      </c>
    </row>
    <row r="417" spans="2:10" ht="15.95" customHeight="1" thickBot="1" x14ac:dyDescent="0.3">
      <c r="C417" s="132"/>
      <c r="D417" s="133"/>
      <c r="E417" s="134"/>
      <c r="F417" s="134"/>
      <c r="G417" s="135" t="s">
        <v>386</v>
      </c>
      <c r="H417" s="136"/>
      <c r="I417" s="137">
        <f>SUM(I416)</f>
        <v>0</v>
      </c>
    </row>
    <row r="418" spans="2:10" ht="15.95" customHeight="1" thickBot="1" x14ac:dyDescent="0.3">
      <c r="C418" s="147" t="s">
        <v>387</v>
      </c>
      <c r="D418" s="148" t="s">
        <v>388</v>
      </c>
      <c r="E418" s="149"/>
      <c r="F418" s="149"/>
      <c r="G418" s="150"/>
      <c r="H418" s="144">
        <f>IF(AND(D418&lt;&gt;"",F418&lt;&gt;""),IF(C418="",IF(F418="OH",VLOOKUP(D418,[1]UPAH!$B$3:$G$32,7,0),VLOOKUP(D418,[1]BAHAN!$A$2:$D$3,4,0)),0),0)</f>
        <v>0</v>
      </c>
      <c r="I418" s="126">
        <f>G418*H418</f>
        <v>0</v>
      </c>
    </row>
    <row r="419" spans="2:10" ht="15.95" customHeight="1" thickBot="1" x14ac:dyDescent="0.3">
      <c r="C419" s="132"/>
      <c r="D419" s="133"/>
      <c r="E419" s="134"/>
      <c r="F419" s="134"/>
      <c r="G419" s="135" t="s">
        <v>389</v>
      </c>
      <c r="H419" s="136"/>
      <c r="I419" s="137">
        <f>I418</f>
        <v>0</v>
      </c>
    </row>
    <row r="420" spans="2:10" ht="15.95" customHeight="1" x14ac:dyDescent="0.25">
      <c r="C420" s="158" t="s">
        <v>390</v>
      </c>
      <c r="D420" s="159" t="s">
        <v>391</v>
      </c>
      <c r="E420" s="160"/>
      <c r="F420" s="160"/>
      <c r="G420" s="161"/>
      <c r="H420" s="162">
        <f>IF(AND(D420&lt;&gt;"",F420&lt;&gt;""),IF(C420="",IF(F420="OH",VLOOKUP(D420,[1]UPAH!$B$3:$G$32,7,0),VLOOKUP(D420,[1]BAHAN!$A$2:$D$3,4,0)),0),0)</f>
        <v>0</v>
      </c>
      <c r="I420" s="126">
        <f>SUM(I412:I419)/2</f>
        <v>7100</v>
      </c>
    </row>
    <row r="421" spans="2:10" ht="15.95" customHeight="1" thickBot="1" x14ac:dyDescent="0.3">
      <c r="C421" s="147" t="s">
        <v>392</v>
      </c>
      <c r="D421" s="148" t="s">
        <v>393</v>
      </c>
      <c r="E421" s="149"/>
      <c r="F421" s="149"/>
      <c r="G421" s="164">
        <v>0.1</v>
      </c>
      <c r="H421" s="151"/>
      <c r="I421" s="146">
        <f>G421*I420</f>
        <v>710</v>
      </c>
    </row>
    <row r="422" spans="2:10" ht="15.95" customHeight="1" thickBot="1" x14ac:dyDescent="0.3">
      <c r="C422" s="111" t="s">
        <v>394</v>
      </c>
      <c r="D422" s="112" t="s">
        <v>395</v>
      </c>
      <c r="E422" s="134"/>
      <c r="F422" s="134"/>
      <c r="G422" s="156"/>
      <c r="H422" s="136">
        <f>IF(AND(D422&lt;&gt;"",F422&lt;&gt;""),IF(C422="",IF(F422="OH",VLOOKUP(D422,[1]UPAH!$B$3:$G$32,7,0),VLOOKUP(D422,[1]BAHAN!$A$2:$D$3,4,0)),0),0)</f>
        <v>0</v>
      </c>
      <c r="I422" s="137">
        <f>ROUNDDOWN(I420+I421,0)</f>
        <v>7810</v>
      </c>
    </row>
    <row r="423" spans="2:10" ht="15.95" customHeight="1" x14ac:dyDescent="0.25">
      <c r="C423" s="109"/>
      <c r="D423" s="109"/>
      <c r="G423" s="157"/>
    </row>
    <row r="424" spans="2:10" ht="15.95" customHeight="1" thickBot="1" x14ac:dyDescent="0.3">
      <c r="B424" s="104" t="s">
        <v>479</v>
      </c>
      <c r="C424" s="109" t="s">
        <v>480</v>
      </c>
      <c r="E424" s="170"/>
      <c r="G424" s="157"/>
      <c r="J424" s="110">
        <f>I436</f>
        <v>47245</v>
      </c>
    </row>
    <row r="425" spans="2:10" ht="15.95" customHeight="1" thickBot="1" x14ac:dyDescent="0.3">
      <c r="C425" s="111" t="s">
        <v>328</v>
      </c>
      <c r="D425" s="112" t="s">
        <v>359</v>
      </c>
      <c r="E425" s="113" t="s">
        <v>360</v>
      </c>
      <c r="F425" s="113" t="s">
        <v>330</v>
      </c>
      <c r="G425" s="114" t="s">
        <v>361</v>
      </c>
      <c r="H425" s="112" t="s">
        <v>362</v>
      </c>
      <c r="I425" s="115" t="s">
        <v>363</v>
      </c>
    </row>
    <row r="426" spans="2:10" ht="15.95" customHeight="1" x14ac:dyDescent="0.25">
      <c r="C426" s="116" t="s">
        <v>364</v>
      </c>
      <c r="D426" s="117" t="s">
        <v>365</v>
      </c>
      <c r="E426" s="118"/>
      <c r="F426" s="118"/>
      <c r="G426" s="165"/>
      <c r="H426" s="144">
        <f>IF(AND(D426&lt;&gt;"",F426&lt;&gt;""),IF(C426="",IF(F426="OH",VLOOKUP(D426,[1]UPAH!$B$3:$G$32,7,0),VLOOKUP(D426,[1]BAHAN!$A$2:$D$3,4,0)),0),0)</f>
        <v>0</v>
      </c>
      <c r="I426" s="126">
        <f>G426*H426</f>
        <v>0</v>
      </c>
    </row>
    <row r="427" spans="2:10" ht="15.95" customHeight="1" x14ac:dyDescent="0.25">
      <c r="C427" s="122"/>
      <c r="D427" s="117" t="s">
        <v>366</v>
      </c>
      <c r="E427" s="123" t="s">
        <v>367</v>
      </c>
      <c r="F427" s="123" t="s">
        <v>368</v>
      </c>
      <c r="G427" s="124">
        <v>0.33</v>
      </c>
      <c r="H427" s="125">
        <f>VLOOKUP(D427,Upah,8,FALSE)</f>
        <v>125000</v>
      </c>
      <c r="I427" s="126">
        <f>G427*H427</f>
        <v>41250</v>
      </c>
    </row>
    <row r="428" spans="2:10" ht="15.95" customHeight="1" thickBot="1" x14ac:dyDescent="0.3">
      <c r="C428" s="127"/>
      <c r="D428" s="128" t="s">
        <v>373</v>
      </c>
      <c r="E428" s="129" t="s">
        <v>374</v>
      </c>
      <c r="F428" s="129" t="s">
        <v>368</v>
      </c>
      <c r="G428" s="130">
        <v>0.01</v>
      </c>
      <c r="H428" s="125">
        <f>VLOOKUP(D428,Upah,8,FALSE)</f>
        <v>170000</v>
      </c>
      <c r="I428" s="126">
        <f>G428*H428</f>
        <v>1700</v>
      </c>
    </row>
    <row r="429" spans="2:10" ht="15.95" customHeight="1" thickBot="1" x14ac:dyDescent="0.3">
      <c r="C429" s="132"/>
      <c r="D429" s="133"/>
      <c r="E429" s="134"/>
      <c r="F429" s="134"/>
      <c r="G429" s="135" t="s">
        <v>375</v>
      </c>
      <c r="H429" s="136"/>
      <c r="I429" s="137">
        <f>SUM(I426:I428)</f>
        <v>42950</v>
      </c>
    </row>
    <row r="430" spans="2:10" ht="15.95" customHeight="1" thickBot="1" x14ac:dyDescent="0.3">
      <c r="C430" s="147" t="s">
        <v>376</v>
      </c>
      <c r="D430" s="148" t="s">
        <v>377</v>
      </c>
      <c r="E430" s="149"/>
      <c r="F430" s="149"/>
      <c r="G430" s="150"/>
      <c r="H430" s="144">
        <f>IF(AND(D430&lt;&gt;"",F430&lt;&gt;""),IF(C430="",IF(F430="OH",VLOOKUP(D430,[1]UPAH!$B$3:$G$32,7,0),VLOOKUP(D430,[1]BAHAN!$A$2:$D$3,4,0)),0),0)</f>
        <v>0</v>
      </c>
      <c r="I430" s="126">
        <f>G430*H430</f>
        <v>0</v>
      </c>
    </row>
    <row r="431" spans="2:10" ht="15.95" customHeight="1" thickBot="1" x14ac:dyDescent="0.3">
      <c r="C431" s="132"/>
      <c r="D431" s="133"/>
      <c r="E431" s="134"/>
      <c r="F431" s="134"/>
      <c r="G431" s="135" t="s">
        <v>386</v>
      </c>
      <c r="H431" s="136"/>
      <c r="I431" s="137">
        <f>SUM(I430)</f>
        <v>0</v>
      </c>
    </row>
    <row r="432" spans="2:10" ht="15.95" customHeight="1" thickBot="1" x14ac:dyDescent="0.3">
      <c r="C432" s="147" t="s">
        <v>387</v>
      </c>
      <c r="D432" s="148" t="s">
        <v>388</v>
      </c>
      <c r="E432" s="149"/>
      <c r="F432" s="149"/>
      <c r="G432" s="150"/>
      <c r="H432" s="144">
        <f>IF(AND(D432&lt;&gt;"",F432&lt;&gt;""),IF(C432="",IF(F432="OH",VLOOKUP(D432,[1]UPAH!$B$3:$G$32,7,0),VLOOKUP(D432,[1]BAHAN!$A$2:$D$3,4,0)),0),0)</f>
        <v>0</v>
      </c>
      <c r="I432" s="126">
        <f>G432*H432</f>
        <v>0</v>
      </c>
    </row>
    <row r="433" spans="2:10" ht="15.95" customHeight="1" thickBot="1" x14ac:dyDescent="0.3">
      <c r="C433" s="132"/>
      <c r="D433" s="133"/>
      <c r="E433" s="134"/>
      <c r="F433" s="134"/>
      <c r="G433" s="135" t="s">
        <v>389</v>
      </c>
      <c r="H433" s="136"/>
      <c r="I433" s="137">
        <f>I432</f>
        <v>0</v>
      </c>
    </row>
    <row r="434" spans="2:10" ht="15.95" customHeight="1" x14ac:dyDescent="0.25">
      <c r="C434" s="158" t="s">
        <v>390</v>
      </c>
      <c r="D434" s="159" t="s">
        <v>391</v>
      </c>
      <c r="E434" s="160"/>
      <c r="F434" s="160"/>
      <c r="G434" s="161"/>
      <c r="H434" s="162">
        <f>IF(AND(D434&lt;&gt;"",F434&lt;&gt;""),IF(C434="",IF(F434="OH",VLOOKUP(D434,[1]UPAH!$B$3:$G$32,7,0),VLOOKUP(D434,[1]BAHAN!$A$2:$D$3,4,0)),0),0)</f>
        <v>0</v>
      </c>
      <c r="I434" s="126">
        <f>SUM(I426:I433)/2</f>
        <v>42950</v>
      </c>
    </row>
    <row r="435" spans="2:10" ht="15.95" customHeight="1" thickBot="1" x14ac:dyDescent="0.3">
      <c r="C435" s="147" t="s">
        <v>392</v>
      </c>
      <c r="D435" s="148" t="s">
        <v>393</v>
      </c>
      <c r="E435" s="149"/>
      <c r="F435" s="149"/>
      <c r="G435" s="164">
        <v>0.1</v>
      </c>
      <c r="H435" s="151"/>
      <c r="I435" s="146">
        <f>G435*I434</f>
        <v>4295</v>
      </c>
    </row>
    <row r="436" spans="2:10" ht="15.95" customHeight="1" thickBot="1" x14ac:dyDescent="0.3">
      <c r="C436" s="111" t="s">
        <v>394</v>
      </c>
      <c r="D436" s="112" t="s">
        <v>395</v>
      </c>
      <c r="E436" s="134"/>
      <c r="F436" s="134"/>
      <c r="G436" s="156"/>
      <c r="H436" s="136">
        <f>IF(AND(D436&lt;&gt;"",F436&lt;&gt;""),IF(C436="",IF(F436="OH",VLOOKUP(D436,[1]UPAH!$B$3:$G$32,7,0),VLOOKUP(D436,[1]BAHAN!$A$2:$D$3,4,0)),0),0)</f>
        <v>0</v>
      </c>
      <c r="I436" s="137">
        <f>ROUNDDOWN(I434+I435,0)</f>
        <v>47245</v>
      </c>
    </row>
    <row r="437" spans="2:10" ht="15.95" customHeight="1" x14ac:dyDescent="0.25">
      <c r="C437" s="109"/>
      <c r="D437" s="109"/>
      <c r="G437" s="157"/>
    </row>
    <row r="438" spans="2:10" ht="15.95" customHeight="1" x14ac:dyDescent="0.25">
      <c r="B438" s="171" t="s">
        <v>481</v>
      </c>
      <c r="C438" s="109" t="s">
        <v>482</v>
      </c>
      <c r="G438" s="157"/>
      <c r="J438" s="110">
        <f>I451</f>
        <v>39050</v>
      </c>
    </row>
    <row r="439" spans="2:10" ht="15.95" customHeight="1" thickBot="1" x14ac:dyDescent="0.3">
      <c r="C439" s="109" t="s">
        <v>483</v>
      </c>
      <c r="G439" s="157"/>
    </row>
    <row r="440" spans="2:10" ht="15.95" customHeight="1" thickBot="1" x14ac:dyDescent="0.3">
      <c r="C440" s="111" t="s">
        <v>328</v>
      </c>
      <c r="D440" s="112" t="s">
        <v>359</v>
      </c>
      <c r="E440" s="113" t="s">
        <v>360</v>
      </c>
      <c r="F440" s="113" t="s">
        <v>330</v>
      </c>
      <c r="G440" s="114" t="s">
        <v>361</v>
      </c>
      <c r="H440" s="112" t="s">
        <v>362</v>
      </c>
      <c r="I440" s="115" t="s">
        <v>363</v>
      </c>
    </row>
    <row r="441" spans="2:10" ht="15.95" customHeight="1" x14ac:dyDescent="0.25">
      <c r="C441" s="116" t="s">
        <v>364</v>
      </c>
      <c r="D441" s="117" t="s">
        <v>365</v>
      </c>
      <c r="E441" s="118"/>
      <c r="F441" s="118"/>
      <c r="G441" s="165"/>
      <c r="H441" s="144">
        <f>IF(AND(D441&lt;&gt;"",F441&lt;&gt;""),IF(C441="",IF(F441="OH",VLOOKUP(D441,[1]UPAH!$B$3:$G$32,7,0),VLOOKUP(D441,[1]BAHAN!$A$2:$D$3,4,0)),0),0)</f>
        <v>0</v>
      </c>
      <c r="I441" s="126">
        <f>G441*H441</f>
        <v>0</v>
      </c>
    </row>
    <row r="442" spans="2:10" ht="15.95" customHeight="1" x14ac:dyDescent="0.25">
      <c r="C442" s="122"/>
      <c r="D442" s="117" t="s">
        <v>366</v>
      </c>
      <c r="E442" s="123" t="s">
        <v>367</v>
      </c>
      <c r="F442" s="123" t="s">
        <v>368</v>
      </c>
      <c r="G442" s="124">
        <v>0.25</v>
      </c>
      <c r="H442" s="125">
        <f>VLOOKUP(D442,Upah,8,FALSE)</f>
        <v>125000</v>
      </c>
      <c r="I442" s="126">
        <f>G442*H442</f>
        <v>31250</v>
      </c>
    </row>
    <row r="443" spans="2:10" ht="15.95" customHeight="1" thickBot="1" x14ac:dyDescent="0.3">
      <c r="C443" s="127"/>
      <c r="D443" s="128" t="s">
        <v>373</v>
      </c>
      <c r="E443" s="129" t="s">
        <v>374</v>
      </c>
      <c r="F443" s="129" t="s">
        <v>368</v>
      </c>
      <c r="G443" s="130">
        <v>2.5000000000000001E-2</v>
      </c>
      <c r="H443" s="125">
        <f>VLOOKUP(D443,Upah,8,FALSE)</f>
        <v>170000</v>
      </c>
      <c r="I443" s="126">
        <f>G443*H443</f>
        <v>4250</v>
      </c>
    </row>
    <row r="444" spans="2:10" ht="15.95" customHeight="1" thickBot="1" x14ac:dyDescent="0.3">
      <c r="C444" s="132"/>
      <c r="D444" s="133"/>
      <c r="E444" s="134"/>
      <c r="F444" s="134"/>
      <c r="G444" s="135" t="s">
        <v>375</v>
      </c>
      <c r="H444" s="136"/>
      <c r="I444" s="137">
        <f>SUM(I441:I443)</f>
        <v>35500</v>
      </c>
    </row>
    <row r="445" spans="2:10" ht="15.95" customHeight="1" thickBot="1" x14ac:dyDescent="0.3">
      <c r="C445" s="147" t="s">
        <v>376</v>
      </c>
      <c r="D445" s="148" t="s">
        <v>377</v>
      </c>
      <c r="E445" s="149"/>
      <c r="F445" s="149"/>
      <c r="G445" s="150"/>
      <c r="H445" s="144">
        <f>IF(AND(D445&lt;&gt;"",F445&lt;&gt;""),IF(C445="",IF(F445="OH",VLOOKUP(D445,[1]UPAH!$B$3:$G$32,7,0),VLOOKUP(D445,[1]BAHAN!$A$2:$D$3,4,0)),0),0)</f>
        <v>0</v>
      </c>
      <c r="I445" s="126">
        <f>G445*H445</f>
        <v>0</v>
      </c>
    </row>
    <row r="446" spans="2:10" ht="15.95" customHeight="1" thickBot="1" x14ac:dyDescent="0.3">
      <c r="C446" s="132"/>
      <c r="D446" s="133"/>
      <c r="E446" s="134"/>
      <c r="F446" s="134"/>
      <c r="G446" s="135" t="s">
        <v>386</v>
      </c>
      <c r="H446" s="136"/>
      <c r="I446" s="137">
        <f>SUM(I445)</f>
        <v>0</v>
      </c>
    </row>
    <row r="447" spans="2:10" ht="15.95" customHeight="1" thickBot="1" x14ac:dyDescent="0.3">
      <c r="C447" s="147" t="s">
        <v>387</v>
      </c>
      <c r="D447" s="148" t="s">
        <v>388</v>
      </c>
      <c r="E447" s="149"/>
      <c r="F447" s="149"/>
      <c r="G447" s="150"/>
      <c r="H447" s="144">
        <f>IF(AND(D447&lt;&gt;"",F447&lt;&gt;""),IF(C447="",IF(F447="OH",VLOOKUP(D447,[1]UPAH!$B$3:$G$32,7,0),VLOOKUP(D447,[1]BAHAN!$A$2:$D$3,4,0)),0),0)</f>
        <v>0</v>
      </c>
      <c r="I447" s="126">
        <f>G447*H447</f>
        <v>0</v>
      </c>
    </row>
    <row r="448" spans="2:10" ht="15.95" customHeight="1" thickBot="1" x14ac:dyDescent="0.3">
      <c r="C448" s="132"/>
      <c r="D448" s="133"/>
      <c r="E448" s="134"/>
      <c r="F448" s="134"/>
      <c r="G448" s="135" t="s">
        <v>389</v>
      </c>
      <c r="H448" s="136"/>
      <c r="I448" s="137">
        <f>I447</f>
        <v>0</v>
      </c>
    </row>
    <row r="449" spans="2:10" ht="15.95" customHeight="1" x14ac:dyDescent="0.25">
      <c r="C449" s="158" t="s">
        <v>390</v>
      </c>
      <c r="D449" s="159" t="s">
        <v>391</v>
      </c>
      <c r="E449" s="160"/>
      <c r="F449" s="160"/>
      <c r="G449" s="161"/>
      <c r="H449" s="162">
        <f>IF(AND(D449&lt;&gt;"",F449&lt;&gt;""),IF(C449="",IF(F449="OH",VLOOKUP(D449,[1]UPAH!$B$3:$G$32,7,0),VLOOKUP(D449,[1]BAHAN!$A$2:$D$3,4,0)),0),0)</f>
        <v>0</v>
      </c>
      <c r="I449" s="126">
        <f>SUM(I441:I448)/2</f>
        <v>35500</v>
      </c>
    </row>
    <row r="450" spans="2:10" ht="15.95" customHeight="1" thickBot="1" x14ac:dyDescent="0.3">
      <c r="C450" s="147" t="s">
        <v>392</v>
      </c>
      <c r="D450" s="148" t="s">
        <v>393</v>
      </c>
      <c r="E450" s="149"/>
      <c r="F450" s="149"/>
      <c r="G450" s="164">
        <v>0.1</v>
      </c>
      <c r="H450" s="151"/>
      <c r="I450" s="146">
        <f>G450*I449</f>
        <v>3550</v>
      </c>
    </row>
    <row r="451" spans="2:10" ht="15.95" customHeight="1" thickBot="1" x14ac:dyDescent="0.3">
      <c r="C451" s="111" t="s">
        <v>394</v>
      </c>
      <c r="D451" s="112" t="s">
        <v>395</v>
      </c>
      <c r="E451" s="134"/>
      <c r="F451" s="134"/>
      <c r="G451" s="156"/>
      <c r="H451" s="136">
        <f>IF(AND(D451&lt;&gt;"",F451&lt;&gt;""),IF(C451="",IF(F451="OH",VLOOKUP(D451,[1]UPAH!$B$3:$G$32,7,0),VLOOKUP(D451,[1]BAHAN!$A$2:$D$3,4,0)),0),0)</f>
        <v>0</v>
      </c>
      <c r="I451" s="137">
        <f>ROUNDDOWN(I449+I450,0)</f>
        <v>39050</v>
      </c>
    </row>
    <row r="452" spans="2:10" ht="15.95" customHeight="1" x14ac:dyDescent="0.25">
      <c r="C452" s="109"/>
      <c r="D452" s="109"/>
      <c r="G452" s="157"/>
    </row>
    <row r="453" spans="2:10" ht="15.95" customHeight="1" thickBot="1" x14ac:dyDescent="0.3">
      <c r="B453" s="104" t="s">
        <v>484</v>
      </c>
      <c r="C453" s="104" t="s">
        <v>485</v>
      </c>
      <c r="G453" s="157"/>
      <c r="J453" s="110">
        <f>I465</f>
        <v>78100</v>
      </c>
    </row>
    <row r="454" spans="2:10" ht="15.95" customHeight="1" thickBot="1" x14ac:dyDescent="0.3">
      <c r="C454" s="111" t="s">
        <v>328</v>
      </c>
      <c r="D454" s="112" t="s">
        <v>359</v>
      </c>
      <c r="E454" s="113" t="s">
        <v>360</v>
      </c>
      <c r="F454" s="113" t="s">
        <v>330</v>
      </c>
      <c r="G454" s="114" t="s">
        <v>361</v>
      </c>
      <c r="H454" s="112" t="s">
        <v>362</v>
      </c>
      <c r="I454" s="115" t="s">
        <v>363</v>
      </c>
    </row>
    <row r="455" spans="2:10" ht="15.95" customHeight="1" x14ac:dyDescent="0.25">
      <c r="C455" s="116" t="s">
        <v>364</v>
      </c>
      <c r="D455" s="117" t="s">
        <v>365</v>
      </c>
      <c r="E455" s="118"/>
      <c r="F455" s="118"/>
      <c r="G455" s="165"/>
      <c r="H455" s="144">
        <f>IF(AND(D455&lt;&gt;"",F455&lt;&gt;""),IF(C455="",IF(F455="OH",VLOOKUP(D455,[1]UPAH!$B$3:$G$32,7,0),VLOOKUP(D455,[1]BAHAN!$A$2:$D$3,4,0)),0),0)</f>
        <v>0</v>
      </c>
      <c r="I455" s="126">
        <f>G455*H455</f>
        <v>0</v>
      </c>
    </row>
    <row r="456" spans="2:10" ht="15.95" customHeight="1" x14ac:dyDescent="0.25">
      <c r="C456" s="122"/>
      <c r="D456" s="117" t="s">
        <v>366</v>
      </c>
      <c r="E456" s="123" t="s">
        <v>367</v>
      </c>
      <c r="F456" s="123" t="s">
        <v>368</v>
      </c>
      <c r="G456" s="124">
        <v>0.5</v>
      </c>
      <c r="H456" s="125">
        <f>VLOOKUP(D456,Upah,8,FALSE)</f>
        <v>125000</v>
      </c>
      <c r="I456" s="126">
        <f>G456*H456</f>
        <v>62500</v>
      </c>
    </row>
    <row r="457" spans="2:10" ht="15.95" customHeight="1" thickBot="1" x14ac:dyDescent="0.3">
      <c r="C457" s="127"/>
      <c r="D457" s="128" t="s">
        <v>373</v>
      </c>
      <c r="E457" s="129" t="s">
        <v>374</v>
      </c>
      <c r="F457" s="129" t="s">
        <v>368</v>
      </c>
      <c r="G457" s="130">
        <v>0.05</v>
      </c>
      <c r="H457" s="125">
        <f>VLOOKUP(D457,Upah,8,FALSE)</f>
        <v>170000</v>
      </c>
      <c r="I457" s="126">
        <f>G457*H457</f>
        <v>8500</v>
      </c>
    </row>
    <row r="458" spans="2:10" ht="15.95" customHeight="1" thickBot="1" x14ac:dyDescent="0.3">
      <c r="C458" s="132"/>
      <c r="D458" s="133"/>
      <c r="E458" s="134"/>
      <c r="F458" s="134"/>
      <c r="G458" s="135" t="s">
        <v>375</v>
      </c>
      <c r="H458" s="136"/>
      <c r="I458" s="137">
        <f>SUM(I455:I457)</f>
        <v>71000</v>
      </c>
    </row>
    <row r="459" spans="2:10" ht="15.95" customHeight="1" thickBot="1" x14ac:dyDescent="0.3">
      <c r="C459" s="147" t="s">
        <v>376</v>
      </c>
      <c r="D459" s="148" t="s">
        <v>377</v>
      </c>
      <c r="E459" s="149"/>
      <c r="F459" s="149"/>
      <c r="G459" s="150"/>
      <c r="H459" s="144">
        <f>IF(AND(D459&lt;&gt;"",F459&lt;&gt;""),IF(C459="",IF(F459="OH",VLOOKUP(D459,[1]UPAH!$B$3:$G$32,7,0),VLOOKUP(D459,[1]BAHAN!$A$2:$D$3,4,0)),0),0)</f>
        <v>0</v>
      </c>
      <c r="I459" s="126">
        <f>G459*H459</f>
        <v>0</v>
      </c>
    </row>
    <row r="460" spans="2:10" ht="15.95" customHeight="1" thickBot="1" x14ac:dyDescent="0.3">
      <c r="C460" s="132"/>
      <c r="D460" s="133"/>
      <c r="E460" s="134"/>
      <c r="F460" s="134"/>
      <c r="G460" s="135" t="s">
        <v>386</v>
      </c>
      <c r="H460" s="136"/>
      <c r="I460" s="137">
        <f>SUM(I459)</f>
        <v>0</v>
      </c>
    </row>
    <row r="461" spans="2:10" ht="15.95" customHeight="1" thickBot="1" x14ac:dyDescent="0.3">
      <c r="C461" s="147" t="s">
        <v>387</v>
      </c>
      <c r="D461" s="148" t="s">
        <v>388</v>
      </c>
      <c r="E461" s="149"/>
      <c r="F461" s="149"/>
      <c r="G461" s="150"/>
      <c r="H461" s="144">
        <f>IF(AND(D461&lt;&gt;"",F461&lt;&gt;""),IF(C461="",IF(F461="OH",VLOOKUP(D461,[1]UPAH!$B$3:$G$32,7,0),VLOOKUP(D461,[1]BAHAN!$A$2:$D$3,4,0)),0),0)</f>
        <v>0</v>
      </c>
      <c r="I461" s="126">
        <f>G461*H461</f>
        <v>0</v>
      </c>
    </row>
    <row r="462" spans="2:10" ht="15.95" customHeight="1" thickBot="1" x14ac:dyDescent="0.3">
      <c r="C462" s="132"/>
      <c r="D462" s="133"/>
      <c r="E462" s="134"/>
      <c r="F462" s="134"/>
      <c r="G462" s="135" t="s">
        <v>389</v>
      </c>
      <c r="H462" s="136"/>
      <c r="I462" s="137">
        <f>I461</f>
        <v>0</v>
      </c>
    </row>
    <row r="463" spans="2:10" ht="15.95" customHeight="1" x14ac:dyDescent="0.25">
      <c r="C463" s="158" t="s">
        <v>390</v>
      </c>
      <c r="D463" s="159" t="s">
        <v>391</v>
      </c>
      <c r="E463" s="160"/>
      <c r="F463" s="160"/>
      <c r="G463" s="161"/>
      <c r="H463" s="162">
        <f>IF(AND(D463&lt;&gt;"",F463&lt;&gt;""),IF(C463="",IF(F463="OH",VLOOKUP(D463,[1]UPAH!$B$3:$G$32,7,0),VLOOKUP(D463,[1]BAHAN!$A$2:$D$3,4,0)),0),0)</f>
        <v>0</v>
      </c>
      <c r="I463" s="126">
        <f>SUM(I455:I462)/2</f>
        <v>71000</v>
      </c>
    </row>
    <row r="464" spans="2:10" ht="15.95" customHeight="1" thickBot="1" x14ac:dyDescent="0.3">
      <c r="C464" s="147" t="s">
        <v>392</v>
      </c>
      <c r="D464" s="148" t="s">
        <v>393</v>
      </c>
      <c r="E464" s="149"/>
      <c r="F464" s="149"/>
      <c r="G464" s="164">
        <v>0.1</v>
      </c>
      <c r="H464" s="151"/>
      <c r="I464" s="146">
        <f>G464*I463</f>
        <v>7100</v>
      </c>
    </row>
    <row r="465" spans="2:10" ht="15.95" customHeight="1" thickBot="1" x14ac:dyDescent="0.3">
      <c r="C465" s="111" t="s">
        <v>394</v>
      </c>
      <c r="D465" s="112" t="s">
        <v>395</v>
      </c>
      <c r="E465" s="134"/>
      <c r="F465" s="134"/>
      <c r="G465" s="156"/>
      <c r="H465" s="136">
        <f>IF(AND(D465&lt;&gt;"",F465&lt;&gt;""),IF(C465="",IF(F465="OH",VLOOKUP(D465,[1]UPAH!$B$3:$G$32,7,0),VLOOKUP(D465,[1]BAHAN!$A$2:$D$3,4,0)),0),0)</f>
        <v>0</v>
      </c>
      <c r="I465" s="137">
        <f>ROUNDDOWN(I463+I464,0)</f>
        <v>78100</v>
      </c>
    </row>
    <row r="466" spans="2:10" ht="15.95" customHeight="1" x14ac:dyDescent="0.25">
      <c r="C466" s="109"/>
      <c r="D466" s="109"/>
      <c r="G466" s="157"/>
    </row>
    <row r="467" spans="2:10" ht="15.95" customHeight="1" thickBot="1" x14ac:dyDescent="0.3">
      <c r="B467" s="171" t="s">
        <v>486</v>
      </c>
      <c r="C467" s="104" t="s">
        <v>487</v>
      </c>
      <c r="G467" s="157"/>
      <c r="J467" s="110">
        <f>I480</f>
        <v>440426</v>
      </c>
    </row>
    <row r="468" spans="2:10" ht="15.95" customHeight="1" thickBot="1" x14ac:dyDescent="0.3">
      <c r="C468" s="111" t="s">
        <v>328</v>
      </c>
      <c r="D468" s="112" t="s">
        <v>359</v>
      </c>
      <c r="E468" s="113" t="s">
        <v>360</v>
      </c>
      <c r="F468" s="113" t="s">
        <v>330</v>
      </c>
      <c r="G468" s="114" t="s">
        <v>361</v>
      </c>
      <c r="H468" s="112" t="s">
        <v>362</v>
      </c>
      <c r="I468" s="115" t="s">
        <v>363</v>
      </c>
    </row>
    <row r="469" spans="2:10" ht="15.95" customHeight="1" x14ac:dyDescent="0.25">
      <c r="C469" s="116" t="s">
        <v>364</v>
      </c>
      <c r="D469" s="117" t="s">
        <v>365</v>
      </c>
      <c r="E469" s="118"/>
      <c r="F469" s="118"/>
      <c r="G469" s="165"/>
      <c r="H469" s="144">
        <f>IF(AND(D469&lt;&gt;"",F469&lt;&gt;""),IF(C469="",IF(F469="OH",VLOOKUP(D469,[1]UPAH!$B$3:$G$32,7,0),VLOOKUP(D469,[1]BAHAN!$A$2:$D$3,4,0)),0),0)</f>
        <v>0</v>
      </c>
      <c r="I469" s="126">
        <f>G469*H469</f>
        <v>0</v>
      </c>
    </row>
    <row r="470" spans="2:10" ht="15.95" customHeight="1" x14ac:dyDescent="0.25">
      <c r="C470" s="122"/>
      <c r="D470" s="117" t="s">
        <v>366</v>
      </c>
      <c r="E470" s="123" t="s">
        <v>367</v>
      </c>
      <c r="F470" s="123" t="s">
        <v>368</v>
      </c>
      <c r="G470" s="124">
        <v>0.3</v>
      </c>
      <c r="H470" s="125">
        <f>VLOOKUP(D470,Upah,8,FALSE)</f>
        <v>125000</v>
      </c>
      <c r="I470" s="126">
        <f>G470*H470</f>
        <v>37500</v>
      </c>
    </row>
    <row r="471" spans="2:10" ht="15.95" customHeight="1" thickBot="1" x14ac:dyDescent="0.3">
      <c r="C471" s="127"/>
      <c r="D471" s="128" t="s">
        <v>373</v>
      </c>
      <c r="E471" s="129" t="s">
        <v>374</v>
      </c>
      <c r="F471" s="129" t="s">
        <v>368</v>
      </c>
      <c r="G471" s="130">
        <v>0.01</v>
      </c>
      <c r="H471" s="125">
        <f>VLOOKUP(D471,Upah,8,FALSE)</f>
        <v>170000</v>
      </c>
      <c r="I471" s="126">
        <f>G471*H471</f>
        <v>1700</v>
      </c>
    </row>
    <row r="472" spans="2:10" ht="15.95" customHeight="1" thickBot="1" x14ac:dyDescent="0.3">
      <c r="C472" s="132"/>
      <c r="D472" s="133"/>
      <c r="E472" s="134"/>
      <c r="F472" s="134"/>
      <c r="G472" s="135" t="s">
        <v>375</v>
      </c>
      <c r="H472" s="136"/>
      <c r="I472" s="137">
        <f>SUM(I469:I471)</f>
        <v>39200</v>
      </c>
    </row>
    <row r="473" spans="2:10" ht="15.95" customHeight="1" x14ac:dyDescent="0.25">
      <c r="C473" s="138" t="s">
        <v>376</v>
      </c>
      <c r="D473" s="139" t="s">
        <v>377</v>
      </c>
      <c r="E473" s="140"/>
      <c r="F473" s="140"/>
      <c r="G473" s="141"/>
      <c r="H473" s="144">
        <f>IF(AND(D473&lt;&gt;"",F473&lt;&gt;""),IF(C473="",IF(F473="OH",VLOOKUP(D473,[1]UPAH!$B$3:$G$32,7,0),VLOOKUP(D473,[1]BAHAN!$A$2:$D$3,4,0)),0),0)</f>
        <v>0</v>
      </c>
      <c r="I473" s="126">
        <f>G473*H473</f>
        <v>0</v>
      </c>
    </row>
    <row r="474" spans="2:10" ht="15.95" customHeight="1" thickBot="1" x14ac:dyDescent="0.3">
      <c r="C474" s="127"/>
      <c r="D474" s="128" t="s">
        <v>488</v>
      </c>
      <c r="E474" s="145"/>
      <c r="F474" s="145" t="s">
        <v>489</v>
      </c>
      <c r="G474" s="130">
        <v>1.2</v>
      </c>
      <c r="H474" s="144">
        <f>VLOOKUP(D474,Bahan,6,FALSE)</f>
        <v>300990</v>
      </c>
      <c r="I474" s="126">
        <f>G474*H474</f>
        <v>361188</v>
      </c>
    </row>
    <row r="475" spans="2:10" ht="15.95" customHeight="1" thickBot="1" x14ac:dyDescent="0.3">
      <c r="C475" s="132"/>
      <c r="D475" s="133"/>
      <c r="E475" s="134"/>
      <c r="F475" s="134"/>
      <c r="G475" s="135" t="s">
        <v>386</v>
      </c>
      <c r="H475" s="136"/>
      <c r="I475" s="137">
        <f>SUM(I474)</f>
        <v>361188</v>
      </c>
    </row>
    <row r="476" spans="2:10" ht="15.95" customHeight="1" thickBot="1" x14ac:dyDescent="0.3">
      <c r="C476" s="147" t="s">
        <v>387</v>
      </c>
      <c r="D476" s="148" t="s">
        <v>388</v>
      </c>
      <c r="E476" s="149"/>
      <c r="F476" s="149"/>
      <c r="G476" s="150"/>
      <c r="H476" s="144">
        <f>IF(AND(D476&lt;&gt;"",F476&lt;&gt;""),IF(C476="",IF(F476="OH",VLOOKUP(D476,[1]UPAH!$B$3:$G$32,7,0),VLOOKUP(D476,[1]BAHAN!$A$2:$D$3,4,0)),0),0)</f>
        <v>0</v>
      </c>
      <c r="I476" s="126">
        <f>G476*H476</f>
        <v>0</v>
      </c>
    </row>
    <row r="477" spans="2:10" ht="15.95" customHeight="1" thickBot="1" x14ac:dyDescent="0.3">
      <c r="C477" s="132"/>
      <c r="D477" s="133"/>
      <c r="E477" s="134"/>
      <c r="F477" s="134"/>
      <c r="G477" s="135" t="s">
        <v>389</v>
      </c>
      <c r="H477" s="136"/>
      <c r="I477" s="137">
        <f>I476</f>
        <v>0</v>
      </c>
    </row>
    <row r="478" spans="2:10" ht="15.95" customHeight="1" x14ac:dyDescent="0.25">
      <c r="C478" s="158" t="s">
        <v>390</v>
      </c>
      <c r="D478" s="159" t="s">
        <v>391</v>
      </c>
      <c r="E478" s="160"/>
      <c r="F478" s="160"/>
      <c r="G478" s="161"/>
      <c r="H478" s="162">
        <f>IF(AND(D478&lt;&gt;"",F478&lt;&gt;""),IF(C478="",IF(F478="OH",VLOOKUP(D478,[1]UPAH!$B$3:$G$32,7,0),VLOOKUP(D478,[1]BAHAN!$A$2:$D$3,4,0)),0),0)</f>
        <v>0</v>
      </c>
      <c r="I478" s="126">
        <f>SUM(I470:I477)/2</f>
        <v>400388</v>
      </c>
    </row>
    <row r="479" spans="2:10" ht="15.95" customHeight="1" thickBot="1" x14ac:dyDescent="0.3">
      <c r="C479" s="147" t="s">
        <v>392</v>
      </c>
      <c r="D479" s="148" t="s">
        <v>393</v>
      </c>
      <c r="E479" s="149"/>
      <c r="F479" s="149"/>
      <c r="G479" s="164">
        <v>0.1</v>
      </c>
      <c r="H479" s="151"/>
      <c r="I479" s="146">
        <f>G479*I478</f>
        <v>40038.800000000003</v>
      </c>
    </row>
    <row r="480" spans="2:10" ht="15.95" customHeight="1" thickBot="1" x14ac:dyDescent="0.3">
      <c r="C480" s="111" t="s">
        <v>394</v>
      </c>
      <c r="D480" s="112" t="s">
        <v>395</v>
      </c>
      <c r="E480" s="134"/>
      <c r="F480" s="134"/>
      <c r="G480" s="156"/>
      <c r="H480" s="136">
        <f>IF(AND(D480&lt;&gt;"",F480&lt;&gt;""),IF(C480="",IF(F480="OH",VLOOKUP(D480,[1]UPAH!$B$3:$G$32,7,0),VLOOKUP(D480,[1]BAHAN!$A$2:$D$3,4,0)),0),0)</f>
        <v>0</v>
      </c>
      <c r="I480" s="137">
        <f>ROUNDDOWN(I478+I479,0)</f>
        <v>440426</v>
      </c>
    </row>
    <row r="481" spans="2:10" ht="15.95" customHeight="1" x14ac:dyDescent="0.25">
      <c r="C481" s="109"/>
      <c r="D481" s="109"/>
      <c r="G481" s="157"/>
    </row>
    <row r="482" spans="2:10" ht="15.95" customHeight="1" thickBot="1" x14ac:dyDescent="0.3">
      <c r="B482" s="104" t="s">
        <v>490</v>
      </c>
      <c r="C482" s="109" t="s">
        <v>491</v>
      </c>
      <c r="G482" s="157"/>
      <c r="J482" s="110">
        <f>I499</f>
        <v>418145</v>
      </c>
    </row>
    <row r="483" spans="2:10" ht="15.95" customHeight="1" thickBot="1" x14ac:dyDescent="0.3">
      <c r="C483" s="111" t="s">
        <v>328</v>
      </c>
      <c r="D483" s="112" t="s">
        <v>359</v>
      </c>
      <c r="E483" s="113" t="s">
        <v>360</v>
      </c>
      <c r="F483" s="113" t="s">
        <v>330</v>
      </c>
      <c r="G483" s="114" t="s">
        <v>361</v>
      </c>
      <c r="H483" s="112" t="s">
        <v>362</v>
      </c>
      <c r="I483" s="115" t="s">
        <v>363</v>
      </c>
    </row>
    <row r="484" spans="2:10" ht="15.95" customHeight="1" x14ac:dyDescent="0.25">
      <c r="C484" s="116" t="s">
        <v>364</v>
      </c>
      <c r="D484" s="117" t="s">
        <v>365</v>
      </c>
      <c r="E484" s="118"/>
      <c r="F484" s="118"/>
      <c r="G484" s="165"/>
      <c r="H484" s="144">
        <f>IF(AND(D484&lt;&gt;"",F484&lt;&gt;""),IF(C484="",IF(F484="OH",VLOOKUP(D484,[1]UPAH!$B$3:$G$32,7,0),VLOOKUP(D484,[1]BAHAN!$A$2:$D$3,4,0)),0),0)</f>
        <v>0</v>
      </c>
      <c r="I484" s="126">
        <f>G484*H484</f>
        <v>0</v>
      </c>
    </row>
    <row r="485" spans="2:10" ht="15.95" customHeight="1" x14ac:dyDescent="0.25">
      <c r="C485" s="122"/>
      <c r="D485" s="117" t="s">
        <v>366</v>
      </c>
      <c r="E485" s="123" t="s">
        <v>367</v>
      </c>
      <c r="F485" s="123" t="s">
        <v>368</v>
      </c>
      <c r="G485" s="124">
        <v>0.8</v>
      </c>
      <c r="H485" s="125">
        <f>VLOOKUP(D485,Upah,8,FALSE)</f>
        <v>125000</v>
      </c>
      <c r="I485" s="126">
        <f>G485*H485</f>
        <v>100000</v>
      </c>
    </row>
    <row r="486" spans="2:10" ht="15.95" customHeight="1" x14ac:dyDescent="0.25">
      <c r="C486" s="122"/>
      <c r="D486" s="117" t="s">
        <v>455</v>
      </c>
      <c r="E486" s="123" t="s">
        <v>456</v>
      </c>
      <c r="F486" s="123" t="s">
        <v>368</v>
      </c>
      <c r="G486" s="124">
        <v>0.4</v>
      </c>
      <c r="H486" s="125">
        <f>VLOOKUP(D486,Upah,8,FALSE)</f>
        <v>150000</v>
      </c>
      <c r="I486" s="126">
        <f>G486*H486</f>
        <v>60000</v>
      </c>
    </row>
    <row r="487" spans="2:10" ht="15.95" customHeight="1" x14ac:dyDescent="0.25">
      <c r="C487" s="122"/>
      <c r="D487" s="117" t="s">
        <v>371</v>
      </c>
      <c r="E487" s="123" t="s">
        <v>372</v>
      </c>
      <c r="F487" s="123" t="s">
        <v>368</v>
      </c>
      <c r="G487" s="124">
        <v>0.04</v>
      </c>
      <c r="H487" s="125">
        <f>VLOOKUP(D487,Upah,8,FALSE)</f>
        <v>165000</v>
      </c>
      <c r="I487" s="126">
        <f>G487*H487</f>
        <v>6600</v>
      </c>
    </row>
    <row r="488" spans="2:10" ht="15.95" customHeight="1" thickBot="1" x14ac:dyDescent="0.3">
      <c r="C488" s="127"/>
      <c r="D488" s="128" t="s">
        <v>373</v>
      </c>
      <c r="E488" s="129" t="s">
        <v>374</v>
      </c>
      <c r="F488" s="129" t="s">
        <v>368</v>
      </c>
      <c r="G488" s="130">
        <v>0.08</v>
      </c>
      <c r="H488" s="125">
        <f>VLOOKUP(D488,Upah,8,FALSE)</f>
        <v>170000</v>
      </c>
      <c r="I488" s="126">
        <f>G488*H488</f>
        <v>13600</v>
      </c>
    </row>
    <row r="489" spans="2:10" ht="15.95" customHeight="1" thickBot="1" x14ac:dyDescent="0.3">
      <c r="C489" s="132"/>
      <c r="D489" s="133"/>
      <c r="E489" s="134"/>
      <c r="F489" s="134"/>
      <c r="G489" s="135" t="s">
        <v>375</v>
      </c>
      <c r="H489" s="136"/>
      <c r="I489" s="137">
        <f>SUM(I484:I488)</f>
        <v>180200</v>
      </c>
    </row>
    <row r="490" spans="2:10" ht="15.95" customHeight="1" x14ac:dyDescent="0.25">
      <c r="C490" s="138" t="s">
        <v>376</v>
      </c>
      <c r="D490" s="139" t="s">
        <v>377</v>
      </c>
      <c r="E490" s="140"/>
      <c r="F490" s="140"/>
      <c r="G490" s="141"/>
      <c r="H490" s="144">
        <f>IF(AND(D490&lt;&gt;"",F490&lt;&gt;""),IF(C490="",IF(F490="OH",VLOOKUP(D490,[1]UPAH!$B$3:$G$32,7,0),VLOOKUP(D490,[1]BAHAN!$A$2:$D$3,4,0)),0),0)</f>
        <v>0</v>
      </c>
      <c r="I490" s="126">
        <f>G490*H490</f>
        <v>0</v>
      </c>
    </row>
    <row r="491" spans="2:10" ht="15.95" customHeight="1" x14ac:dyDescent="0.25">
      <c r="C491" s="122"/>
      <c r="D491" s="117" t="s">
        <v>492</v>
      </c>
      <c r="E491" s="118"/>
      <c r="F491" s="123" t="s">
        <v>158</v>
      </c>
      <c r="G491" s="124">
        <v>0.13500000000000001</v>
      </c>
      <c r="H491" s="144">
        <f>VLOOKUP(D491,Bahan,6,FALSE)</f>
        <v>448950</v>
      </c>
      <c r="I491" s="126">
        <f>G491*H491</f>
        <v>60608.250000000007</v>
      </c>
    </row>
    <row r="492" spans="2:10" ht="15.95" customHeight="1" x14ac:dyDescent="0.25">
      <c r="C492" s="122"/>
      <c r="D492" s="117" t="s">
        <v>493</v>
      </c>
      <c r="E492" s="118"/>
      <c r="F492" s="123" t="s">
        <v>158</v>
      </c>
      <c r="G492" s="124">
        <v>0.4</v>
      </c>
      <c r="H492" s="144">
        <f>VLOOKUP(D492,Bahan,6,FALSE)</f>
        <v>253510</v>
      </c>
      <c r="I492" s="126">
        <f>G492*H492</f>
        <v>101404</v>
      </c>
    </row>
    <row r="493" spans="2:10" ht="15.95" customHeight="1" thickBot="1" x14ac:dyDescent="0.3">
      <c r="C493" s="127"/>
      <c r="D493" s="128" t="s">
        <v>494</v>
      </c>
      <c r="E493" s="145"/>
      <c r="F493" s="129" t="s">
        <v>158</v>
      </c>
      <c r="G493" s="130">
        <v>0.94799999999999995</v>
      </c>
      <c r="H493" s="144">
        <f>VLOOKUP(D493,Bahan,6,FALSE)</f>
        <v>40000</v>
      </c>
      <c r="I493" s="126">
        <f>G493*H493</f>
        <v>37920</v>
      </c>
    </row>
    <row r="494" spans="2:10" ht="15.95" customHeight="1" thickBot="1" x14ac:dyDescent="0.3">
      <c r="C494" s="132"/>
      <c r="D494" s="133"/>
      <c r="E494" s="134"/>
      <c r="F494" s="134"/>
      <c r="G494" s="135" t="s">
        <v>386</v>
      </c>
      <c r="H494" s="136"/>
      <c r="I494" s="137">
        <f>SUM(I491:I493)</f>
        <v>199932.25</v>
      </c>
    </row>
    <row r="495" spans="2:10" ht="15.95" customHeight="1" thickBot="1" x14ac:dyDescent="0.3">
      <c r="C495" s="147" t="s">
        <v>387</v>
      </c>
      <c r="D495" s="148" t="s">
        <v>388</v>
      </c>
      <c r="E495" s="149"/>
      <c r="F495" s="149"/>
      <c r="G495" s="150"/>
      <c r="H495" s="144">
        <f>IF(AND(D495&lt;&gt;"",F495&lt;&gt;""),IF(C495="",IF(F495="OH",VLOOKUP(D495,[1]UPAH!$B$3:$G$32,7,0),VLOOKUP(D495,[1]BAHAN!$A$2:$D$3,4,0)),0),0)</f>
        <v>0</v>
      </c>
      <c r="I495" s="126">
        <f>G495*H495</f>
        <v>0</v>
      </c>
    </row>
    <row r="496" spans="2:10" ht="15.95" customHeight="1" thickBot="1" x14ac:dyDescent="0.3">
      <c r="C496" s="132"/>
      <c r="D496" s="133"/>
      <c r="E496" s="134"/>
      <c r="F496" s="134"/>
      <c r="G496" s="135" t="s">
        <v>389</v>
      </c>
      <c r="H496" s="136"/>
      <c r="I496" s="137">
        <f>I495</f>
        <v>0</v>
      </c>
    </row>
    <row r="497" spans="2:10" ht="15.95" customHeight="1" x14ac:dyDescent="0.25">
      <c r="C497" s="158" t="s">
        <v>390</v>
      </c>
      <c r="D497" s="159" t="s">
        <v>391</v>
      </c>
      <c r="E497" s="160"/>
      <c r="F497" s="160"/>
      <c r="G497" s="161"/>
      <c r="H497" s="162">
        <f>IF(AND(D497&lt;&gt;"",F497&lt;&gt;""),IF(C497="",IF(F497="OH",VLOOKUP(D497,[1]UPAH!$B$3:$G$32,7,0),VLOOKUP(D497,[1]BAHAN!$A$2:$D$3,4,0)),0),0)</f>
        <v>0</v>
      </c>
      <c r="I497" s="126">
        <f>SUM(I484:I496)/2</f>
        <v>380132.25</v>
      </c>
    </row>
    <row r="498" spans="2:10" ht="15.95" customHeight="1" thickBot="1" x14ac:dyDescent="0.3">
      <c r="C498" s="147" t="s">
        <v>392</v>
      </c>
      <c r="D498" s="148" t="s">
        <v>393</v>
      </c>
      <c r="E498" s="149"/>
      <c r="F498" s="149"/>
      <c r="G498" s="164">
        <v>0.1</v>
      </c>
      <c r="H498" s="151"/>
      <c r="I498" s="146">
        <f>G498*I497</f>
        <v>38013.224999999999</v>
      </c>
    </row>
    <row r="499" spans="2:10" ht="15.95" customHeight="1" thickBot="1" x14ac:dyDescent="0.3">
      <c r="C499" s="111" t="s">
        <v>394</v>
      </c>
      <c r="D499" s="112" t="s">
        <v>395</v>
      </c>
      <c r="E499" s="134"/>
      <c r="F499" s="134"/>
      <c r="G499" s="156"/>
      <c r="H499" s="136">
        <f>IF(AND(D499&lt;&gt;"",F499&lt;&gt;""),IF(C499="",IF(F499="OH",VLOOKUP(D499,[1]UPAH!$B$3:$G$32,7,0),VLOOKUP(D499,[1]BAHAN!$A$2:$D$3,4,0)),0),0)</f>
        <v>0</v>
      </c>
      <c r="I499" s="137">
        <f>ROUNDDOWN(I497+I498,0)</f>
        <v>418145</v>
      </c>
    </row>
    <row r="500" spans="2:10" ht="15.95" customHeight="1" x14ac:dyDescent="0.25">
      <c r="C500" s="109"/>
      <c r="D500" s="109"/>
      <c r="G500" s="157"/>
    </row>
    <row r="501" spans="2:10" ht="15.95" customHeight="1" thickBot="1" x14ac:dyDescent="0.3">
      <c r="B501" s="171" t="s">
        <v>495</v>
      </c>
      <c r="C501" s="109" t="s">
        <v>496</v>
      </c>
      <c r="G501" s="157"/>
      <c r="J501" s="110">
        <f>I514</f>
        <v>1617330</v>
      </c>
    </row>
    <row r="502" spans="2:10" ht="15.95" customHeight="1" thickBot="1" x14ac:dyDescent="0.3">
      <c r="C502" s="111" t="s">
        <v>328</v>
      </c>
      <c r="D502" s="112" t="s">
        <v>359</v>
      </c>
      <c r="E502" s="113" t="s">
        <v>360</v>
      </c>
      <c r="F502" s="113" t="s">
        <v>330</v>
      </c>
      <c r="G502" s="114" t="s">
        <v>361</v>
      </c>
      <c r="H502" s="112" t="s">
        <v>362</v>
      </c>
      <c r="I502" s="115" t="s">
        <v>363</v>
      </c>
    </row>
    <row r="503" spans="2:10" ht="15.95" customHeight="1" x14ac:dyDescent="0.25">
      <c r="C503" s="116" t="s">
        <v>364</v>
      </c>
      <c r="D503" s="117" t="s">
        <v>365</v>
      </c>
      <c r="E503" s="118"/>
      <c r="F503" s="118"/>
      <c r="G503" s="165"/>
      <c r="H503" s="144">
        <f>IF(AND(D503&lt;&gt;"",F503&lt;&gt;""),IF(C503="",IF(F503="OH",VLOOKUP(D503,[1]UPAH!$B$3:$G$32,7,0),VLOOKUP(D503,[1]BAHAN!$A$2:$D$3,4,0)),0),0)</f>
        <v>0</v>
      </c>
      <c r="I503" s="126">
        <f>G503*H503</f>
        <v>0</v>
      </c>
    </row>
    <row r="504" spans="2:10" ht="15.95" customHeight="1" x14ac:dyDescent="0.25">
      <c r="C504" s="122"/>
      <c r="D504" s="117" t="s">
        <v>366</v>
      </c>
      <c r="E504" s="123" t="s">
        <v>367</v>
      </c>
      <c r="F504" s="123" t="s">
        <v>368</v>
      </c>
      <c r="G504" s="124">
        <v>0.15</v>
      </c>
      <c r="H504" s="125">
        <f>VLOOKUP(D504,Upah,8,FALSE)</f>
        <v>125000</v>
      </c>
      <c r="I504" s="126">
        <f>G504*H504</f>
        <v>18750</v>
      </c>
    </row>
    <row r="505" spans="2:10" ht="15.95" customHeight="1" thickBot="1" x14ac:dyDescent="0.3">
      <c r="C505" s="127"/>
      <c r="D505" s="128" t="s">
        <v>373</v>
      </c>
      <c r="E505" s="129" t="s">
        <v>374</v>
      </c>
      <c r="F505" s="129" t="s">
        <v>368</v>
      </c>
      <c r="G505" s="130">
        <v>1.4999999999999999E-2</v>
      </c>
      <c r="H505" s="125">
        <f>VLOOKUP(D505,Upah,8,FALSE)</f>
        <v>170000</v>
      </c>
      <c r="I505" s="126">
        <f>G505*H505</f>
        <v>2550</v>
      </c>
    </row>
    <row r="506" spans="2:10" ht="15.95" customHeight="1" thickBot="1" x14ac:dyDescent="0.3">
      <c r="C506" s="132"/>
      <c r="D506" s="133"/>
      <c r="E506" s="134"/>
      <c r="F506" s="134"/>
      <c r="G506" s="135" t="s">
        <v>375</v>
      </c>
      <c r="H506" s="136"/>
      <c r="I506" s="137">
        <f>SUM(I504:I505)</f>
        <v>21300</v>
      </c>
    </row>
    <row r="507" spans="2:10" ht="15.95" customHeight="1" x14ac:dyDescent="0.25">
      <c r="C507" s="138" t="s">
        <v>376</v>
      </c>
      <c r="D507" s="139" t="s">
        <v>377</v>
      </c>
      <c r="E507" s="140"/>
      <c r="F507" s="140"/>
      <c r="G507" s="141"/>
      <c r="H507" s="144">
        <f>IF(AND(D507&lt;&gt;"",F507&lt;&gt;""),IF(C507="",IF(F507="OH",VLOOKUP(D507,[1]UPAH!$B$3:$G$32,7,0),VLOOKUP(D507,[1]BAHAN!$A$2:$D$3,4,0)),0),0)</f>
        <v>0</v>
      </c>
      <c r="I507" s="126">
        <f>G507*H507</f>
        <v>0</v>
      </c>
    </row>
    <row r="508" spans="2:10" ht="15.95" customHeight="1" thickBot="1" x14ac:dyDescent="0.3">
      <c r="C508" s="127"/>
      <c r="D508" s="128" t="s">
        <v>497</v>
      </c>
      <c r="E508" s="145"/>
      <c r="F508" s="129" t="s">
        <v>158</v>
      </c>
      <c r="G508" s="130">
        <v>6</v>
      </c>
      <c r="H508" s="144">
        <f>VLOOKUP(D508,Bahan,6,FALSE)</f>
        <v>241500</v>
      </c>
      <c r="I508" s="126">
        <f>G508*H508</f>
        <v>1449000</v>
      </c>
    </row>
    <row r="509" spans="2:10" ht="15.95" customHeight="1" thickBot="1" x14ac:dyDescent="0.3">
      <c r="C509" s="132"/>
      <c r="D509" s="133"/>
      <c r="E509" s="134"/>
      <c r="F509" s="134"/>
      <c r="G509" s="135" t="s">
        <v>386</v>
      </c>
      <c r="H509" s="136"/>
      <c r="I509" s="137">
        <f>SUM(I508)</f>
        <v>1449000</v>
      </c>
    </row>
    <row r="510" spans="2:10" ht="15.95" customHeight="1" thickBot="1" x14ac:dyDescent="0.3">
      <c r="C510" s="147" t="s">
        <v>387</v>
      </c>
      <c r="D510" s="148" t="s">
        <v>388</v>
      </c>
      <c r="E510" s="149"/>
      <c r="F510" s="149"/>
      <c r="G510" s="150"/>
      <c r="H510" s="144">
        <f>IF(AND(D510&lt;&gt;"",F510&lt;&gt;""),IF(C510="",IF(F510="OH",VLOOKUP(D510,[1]UPAH!$B$3:$G$32,7,0),VLOOKUP(D510,[1]BAHAN!$A$2:$D$3,4,0)),0),0)</f>
        <v>0</v>
      </c>
      <c r="I510" s="126">
        <f>G510*H510</f>
        <v>0</v>
      </c>
    </row>
    <row r="511" spans="2:10" ht="15.95" customHeight="1" thickBot="1" x14ac:dyDescent="0.3">
      <c r="C511" s="132"/>
      <c r="D511" s="133"/>
      <c r="E511" s="134"/>
      <c r="F511" s="134"/>
      <c r="G511" s="135" t="s">
        <v>389</v>
      </c>
      <c r="H511" s="136"/>
      <c r="I511" s="137">
        <f>I510</f>
        <v>0</v>
      </c>
    </row>
    <row r="512" spans="2:10" ht="15.95" customHeight="1" x14ac:dyDescent="0.25">
      <c r="C512" s="158" t="s">
        <v>390</v>
      </c>
      <c r="D512" s="159" t="s">
        <v>391</v>
      </c>
      <c r="E512" s="160"/>
      <c r="F512" s="160"/>
      <c r="G512" s="161"/>
      <c r="H512" s="162">
        <f>IF(AND(D512&lt;&gt;"",F512&lt;&gt;""),IF(C512="",IF(F512="OH",VLOOKUP(D512,[1]UPAH!$B$3:$G$32,7,0),VLOOKUP(D512,[1]BAHAN!$A$2:$D$3,4,0)),0),0)</f>
        <v>0</v>
      </c>
      <c r="I512" s="126">
        <f>SUM(I504:I511)/2</f>
        <v>1470300</v>
      </c>
    </row>
    <row r="513" spans="2:10" ht="15.95" customHeight="1" thickBot="1" x14ac:dyDescent="0.3">
      <c r="C513" s="147" t="s">
        <v>392</v>
      </c>
      <c r="D513" s="148" t="s">
        <v>393</v>
      </c>
      <c r="E513" s="149"/>
      <c r="F513" s="149"/>
      <c r="G513" s="164">
        <v>0.1</v>
      </c>
      <c r="H513" s="151"/>
      <c r="I513" s="146">
        <f>G513*I512</f>
        <v>147030</v>
      </c>
    </row>
    <row r="514" spans="2:10" ht="15.95" customHeight="1" thickBot="1" x14ac:dyDescent="0.3">
      <c r="C514" s="111" t="s">
        <v>394</v>
      </c>
      <c r="D514" s="112" t="s">
        <v>395</v>
      </c>
      <c r="E514" s="134"/>
      <c r="F514" s="134"/>
      <c r="G514" s="156"/>
      <c r="H514" s="136">
        <f>IF(AND(D514&lt;&gt;"",F514&lt;&gt;""),IF(C514="",IF(F514="OH",VLOOKUP(D514,[1]UPAH!$B$3:$G$32,7,0),VLOOKUP(D514,[1]BAHAN!$A$2:$D$3,4,0)),0),0)</f>
        <v>0</v>
      </c>
      <c r="I514" s="137">
        <f>ROUNDDOWN(I512+I513,0)</f>
        <v>1617330</v>
      </c>
    </row>
    <row r="515" spans="2:10" ht="15.95" customHeight="1" x14ac:dyDescent="0.25">
      <c r="C515" s="109"/>
      <c r="D515" s="109"/>
      <c r="G515" s="157"/>
    </row>
    <row r="516" spans="2:10" ht="15.95" customHeight="1" thickBot="1" x14ac:dyDescent="0.3">
      <c r="B516" s="171" t="s">
        <v>498</v>
      </c>
      <c r="C516" s="109" t="s">
        <v>499</v>
      </c>
      <c r="E516" s="170"/>
      <c r="G516" s="157"/>
      <c r="J516" s="110">
        <f>I529</f>
        <v>401852</v>
      </c>
    </row>
    <row r="517" spans="2:10" ht="15.95" customHeight="1" thickBot="1" x14ac:dyDescent="0.3">
      <c r="C517" s="111" t="s">
        <v>328</v>
      </c>
      <c r="D517" s="112" t="s">
        <v>359</v>
      </c>
      <c r="E517" s="113" t="s">
        <v>360</v>
      </c>
      <c r="F517" s="113" t="s">
        <v>330</v>
      </c>
      <c r="G517" s="114" t="s">
        <v>361</v>
      </c>
      <c r="H517" s="112" t="s">
        <v>362</v>
      </c>
      <c r="I517" s="115" t="s">
        <v>363</v>
      </c>
    </row>
    <row r="518" spans="2:10" ht="15.95" customHeight="1" x14ac:dyDescent="0.25">
      <c r="C518" s="116" t="s">
        <v>364</v>
      </c>
      <c r="D518" s="117" t="s">
        <v>365</v>
      </c>
      <c r="E518" s="118"/>
      <c r="F518" s="118"/>
      <c r="G518" s="165"/>
      <c r="H518" s="144">
        <f>IF(AND(D518&lt;&gt;"",F518&lt;&gt;""),IF(C518="",IF(F518="OH",VLOOKUP(D518,[1]UPAH!$B$3:$G$32,7,0),VLOOKUP(D518,[1]BAHAN!$A$2:$D$3,4,0)),0),0)</f>
        <v>0</v>
      </c>
      <c r="I518" s="126">
        <f>G518*H518</f>
        <v>0</v>
      </c>
    </row>
    <row r="519" spans="2:10" ht="15.95" customHeight="1" x14ac:dyDescent="0.25">
      <c r="C519" s="122"/>
      <c r="D519" s="117" t="s">
        <v>366</v>
      </c>
      <c r="E519" s="123" t="s">
        <v>367</v>
      </c>
      <c r="F519" s="123" t="s">
        <v>368</v>
      </c>
      <c r="G519" s="124">
        <v>0.25</v>
      </c>
      <c r="H519" s="125">
        <f>VLOOKUP(D519,Upah,8,FALSE)</f>
        <v>125000</v>
      </c>
      <c r="I519" s="126">
        <f>G519*H519</f>
        <v>31250</v>
      </c>
    </row>
    <row r="520" spans="2:10" ht="15.95" customHeight="1" thickBot="1" x14ac:dyDescent="0.3">
      <c r="C520" s="122"/>
      <c r="D520" s="117" t="s">
        <v>373</v>
      </c>
      <c r="E520" s="129" t="s">
        <v>374</v>
      </c>
      <c r="F520" s="123" t="s">
        <v>368</v>
      </c>
      <c r="G520" s="124">
        <v>2.5000000000000001E-2</v>
      </c>
      <c r="H520" s="125">
        <f>VLOOKUP(D520,Upah,8,FALSE)</f>
        <v>170000</v>
      </c>
      <c r="I520" s="126">
        <f>G520*H520</f>
        <v>4250</v>
      </c>
    </row>
    <row r="521" spans="2:10" ht="15.95" customHeight="1" thickBot="1" x14ac:dyDescent="0.3">
      <c r="C521" s="132"/>
      <c r="D521" s="133"/>
      <c r="E521" s="134"/>
      <c r="F521" s="134"/>
      <c r="G521" s="135" t="s">
        <v>375</v>
      </c>
      <c r="H521" s="136"/>
      <c r="I521" s="137">
        <f>SUM(I518:I520)</f>
        <v>35500</v>
      </c>
    </row>
    <row r="522" spans="2:10" ht="15.95" customHeight="1" x14ac:dyDescent="0.25">
      <c r="C522" s="116" t="s">
        <v>376</v>
      </c>
      <c r="D522" s="117" t="s">
        <v>377</v>
      </c>
      <c r="E522" s="118"/>
      <c r="F522" s="118"/>
      <c r="G522" s="165"/>
      <c r="H522" s="144">
        <f>IF(AND(D522&lt;&gt;"",F522&lt;&gt;""),IF(C522="",IF(F522="OH",VLOOKUP(D522,[1]UPAH!$B$3:$G$32,7,0),VLOOKUP(D522,[1]BAHAN!$A$2:$D$3,4,0)),0),0)</f>
        <v>0</v>
      </c>
      <c r="I522" s="126">
        <f>G522*H522</f>
        <v>0</v>
      </c>
    </row>
    <row r="523" spans="2:10" ht="15.95" customHeight="1" thickBot="1" x14ac:dyDescent="0.3">
      <c r="C523" s="122"/>
      <c r="D523" s="117" t="s">
        <v>500</v>
      </c>
      <c r="E523" s="118"/>
      <c r="F523" s="123" t="s">
        <v>158</v>
      </c>
      <c r="G523" s="124">
        <v>1.2</v>
      </c>
      <c r="H523" s="144">
        <f>VLOOKUP(D523,Bahan,6,FALSE)</f>
        <v>274850</v>
      </c>
      <c r="I523" s="126">
        <f>G523*H523</f>
        <v>329820</v>
      </c>
    </row>
    <row r="524" spans="2:10" ht="15.95" customHeight="1" thickBot="1" x14ac:dyDescent="0.3">
      <c r="C524" s="132"/>
      <c r="D524" s="133"/>
      <c r="E524" s="134"/>
      <c r="F524" s="134"/>
      <c r="G524" s="135" t="s">
        <v>386</v>
      </c>
      <c r="H524" s="136"/>
      <c r="I524" s="137">
        <f>SUM(I523)</f>
        <v>329820</v>
      </c>
    </row>
    <row r="525" spans="2:10" ht="15.95" customHeight="1" thickBot="1" x14ac:dyDescent="0.3">
      <c r="C525" s="116" t="s">
        <v>387</v>
      </c>
      <c r="D525" s="117" t="s">
        <v>388</v>
      </c>
      <c r="E525" s="118"/>
      <c r="F525" s="118"/>
      <c r="G525" s="165"/>
      <c r="H525" s="144">
        <f>IF(AND(D525&lt;&gt;"",F525&lt;&gt;""),IF(C525="",IF(F525="OH",VLOOKUP(D525,[1]UPAH!$B$3:$G$32,7,0),VLOOKUP(D525,[1]BAHAN!$A$2:$D$3,4,0)),0),0)</f>
        <v>0</v>
      </c>
      <c r="I525" s="126">
        <f>G525*H525</f>
        <v>0</v>
      </c>
    </row>
    <row r="526" spans="2:10" ht="15.95" customHeight="1" thickBot="1" x14ac:dyDescent="0.3">
      <c r="C526" s="132"/>
      <c r="D526" s="133"/>
      <c r="E526" s="134"/>
      <c r="F526" s="134"/>
      <c r="G526" s="135" t="s">
        <v>389</v>
      </c>
      <c r="H526" s="136"/>
      <c r="I526" s="137">
        <f>I525</f>
        <v>0</v>
      </c>
    </row>
    <row r="527" spans="2:10" ht="15.95" customHeight="1" x14ac:dyDescent="0.25">
      <c r="C527" s="158" t="s">
        <v>390</v>
      </c>
      <c r="D527" s="159" t="s">
        <v>391</v>
      </c>
      <c r="E527" s="160"/>
      <c r="F527" s="160"/>
      <c r="G527" s="161"/>
      <c r="H527" s="162">
        <f>IF(AND(D527&lt;&gt;"",F527&lt;&gt;""),IF(C527="",IF(F527="OH",VLOOKUP(D527,[1]UPAH!$B$3:$G$32,7,0),VLOOKUP(D527,[1]BAHAN!$A$2:$D$3,4,0)),0),0)</f>
        <v>0</v>
      </c>
      <c r="I527" s="126">
        <f>SUM(I519:I526)/2</f>
        <v>365320</v>
      </c>
    </row>
    <row r="528" spans="2:10" ht="15.95" customHeight="1" thickBot="1" x14ac:dyDescent="0.3">
      <c r="C528" s="147" t="s">
        <v>392</v>
      </c>
      <c r="D528" s="148" t="s">
        <v>393</v>
      </c>
      <c r="E528" s="149"/>
      <c r="F528" s="149"/>
      <c r="G528" s="164">
        <v>0.1</v>
      </c>
      <c r="H528" s="151"/>
      <c r="I528" s="146">
        <f>G528*I527</f>
        <v>36532</v>
      </c>
    </row>
    <row r="529" spans="1:10" ht="15.95" customHeight="1" thickBot="1" x14ac:dyDescent="0.3">
      <c r="C529" s="111" t="s">
        <v>394</v>
      </c>
      <c r="D529" s="112" t="s">
        <v>395</v>
      </c>
      <c r="E529" s="134"/>
      <c r="F529" s="134"/>
      <c r="G529" s="156"/>
      <c r="H529" s="136">
        <f>IF(AND(D529&lt;&gt;"",F529&lt;&gt;""),IF(C529="",IF(F529="OH",VLOOKUP(D529,[1]UPAH!$B$3:$G$32,7,0),VLOOKUP(D529,[1]BAHAN!$A$2:$D$3,4,0)),0),0)</f>
        <v>0</v>
      </c>
      <c r="I529" s="137">
        <f>ROUNDDOWN(I527+I528,0)</f>
        <v>401852</v>
      </c>
    </row>
    <row r="530" spans="1:10" ht="15.95" customHeight="1" x14ac:dyDescent="0.25">
      <c r="C530" s="109"/>
      <c r="D530" s="109"/>
      <c r="G530" s="157"/>
    </row>
    <row r="531" spans="1:10" ht="15.95" customHeight="1" x14ac:dyDescent="0.25">
      <c r="A531" s="167" t="s">
        <v>501</v>
      </c>
      <c r="B531" s="168" t="s">
        <v>502</v>
      </c>
      <c r="G531" s="157"/>
    </row>
    <row r="532" spans="1:10" ht="15.95" customHeight="1" thickBot="1" x14ac:dyDescent="0.3">
      <c r="B532" s="247" t="s">
        <v>503</v>
      </c>
      <c r="C532" s="104" t="s">
        <v>504</v>
      </c>
      <c r="G532" s="157"/>
      <c r="J532" s="110">
        <f>I549</f>
        <v>1467001</v>
      </c>
    </row>
    <row r="533" spans="1:10" ht="15.95" customHeight="1" thickBot="1" x14ac:dyDescent="0.3">
      <c r="C533" s="111" t="s">
        <v>328</v>
      </c>
      <c r="D533" s="112" t="s">
        <v>359</v>
      </c>
      <c r="E533" s="113" t="s">
        <v>360</v>
      </c>
      <c r="F533" s="113" t="s">
        <v>330</v>
      </c>
      <c r="G533" s="114" t="s">
        <v>361</v>
      </c>
      <c r="H533" s="112" t="s">
        <v>362</v>
      </c>
      <c r="I533" s="115" t="s">
        <v>363</v>
      </c>
    </row>
    <row r="534" spans="1:10" ht="15.95" customHeight="1" x14ac:dyDescent="0.25">
      <c r="C534" s="116" t="s">
        <v>364</v>
      </c>
      <c r="D534" s="117" t="s">
        <v>365</v>
      </c>
      <c r="E534" s="118"/>
      <c r="F534" s="118"/>
      <c r="G534" s="165"/>
      <c r="H534" s="144">
        <f>IF(AND(D534&lt;&gt;"",F534&lt;&gt;""),IF(C534="",IF(F534="OH",VLOOKUP(D534,[1]UPAH!$B$3:$G$32,7,0),VLOOKUP(D534,[1]BAHAN!$A$2:$D$3,4,0)),0),0)</f>
        <v>0</v>
      </c>
      <c r="I534" s="126">
        <f>G534*H534</f>
        <v>0</v>
      </c>
    </row>
    <row r="535" spans="1:10" ht="15.95" customHeight="1" x14ac:dyDescent="0.25">
      <c r="C535" s="122"/>
      <c r="D535" s="117" t="s">
        <v>366</v>
      </c>
      <c r="E535" s="123" t="s">
        <v>367</v>
      </c>
      <c r="F535" s="123" t="s">
        <v>368</v>
      </c>
      <c r="G535" s="124">
        <v>1.5</v>
      </c>
      <c r="H535" s="125">
        <f>VLOOKUP(D535,Upah,8,FALSE)</f>
        <v>125000</v>
      </c>
      <c r="I535" s="126">
        <f>G535*H535</f>
        <v>187500</v>
      </c>
    </row>
    <row r="536" spans="1:10" ht="15.95" customHeight="1" x14ac:dyDescent="0.25">
      <c r="C536" s="122"/>
      <c r="D536" s="117" t="s">
        <v>505</v>
      </c>
      <c r="E536" s="123" t="s">
        <v>414</v>
      </c>
      <c r="F536" s="123" t="s">
        <v>368</v>
      </c>
      <c r="G536" s="124">
        <v>0.75</v>
      </c>
      <c r="H536" s="125">
        <f>VLOOKUP(D536,Upah,8,FALSE)</f>
        <v>150000</v>
      </c>
      <c r="I536" s="126">
        <f>G536*H536</f>
        <v>112500</v>
      </c>
    </row>
    <row r="537" spans="1:10" ht="15.95" customHeight="1" x14ac:dyDescent="0.25">
      <c r="C537" s="122"/>
      <c r="D537" s="117" t="s">
        <v>371</v>
      </c>
      <c r="E537" s="123" t="s">
        <v>372</v>
      </c>
      <c r="F537" s="123" t="s">
        <v>368</v>
      </c>
      <c r="G537" s="124">
        <v>7.4999999999999997E-2</v>
      </c>
      <c r="H537" s="125">
        <f>VLOOKUP(D537,Upah,8,FALSE)</f>
        <v>165000</v>
      </c>
      <c r="I537" s="126">
        <f>G537*H537</f>
        <v>12375</v>
      </c>
    </row>
    <row r="538" spans="1:10" ht="15.95" customHeight="1" thickBot="1" x14ac:dyDescent="0.3">
      <c r="C538" s="122"/>
      <c r="D538" s="117" t="s">
        <v>373</v>
      </c>
      <c r="E538" s="129" t="s">
        <v>374</v>
      </c>
      <c r="F538" s="123" t="s">
        <v>368</v>
      </c>
      <c r="G538" s="124">
        <v>7.4999999999999997E-2</v>
      </c>
      <c r="H538" s="125">
        <f>VLOOKUP(D538,Upah,8,FALSE)</f>
        <v>170000</v>
      </c>
      <c r="I538" s="126">
        <f>G538*H538</f>
        <v>12750</v>
      </c>
    </row>
    <row r="539" spans="1:10" ht="15.95" customHeight="1" thickBot="1" x14ac:dyDescent="0.3">
      <c r="C539" s="132"/>
      <c r="D539" s="133"/>
      <c r="E539" s="134"/>
      <c r="F539" s="134"/>
      <c r="G539" s="135" t="s">
        <v>375</v>
      </c>
      <c r="H539" s="136"/>
      <c r="I539" s="137">
        <f>SUM(I534:I538)</f>
        <v>325125</v>
      </c>
    </row>
    <row r="540" spans="1:10" ht="15.95" customHeight="1" x14ac:dyDescent="0.25">
      <c r="C540" s="116" t="s">
        <v>376</v>
      </c>
      <c r="D540" s="117" t="s">
        <v>377</v>
      </c>
      <c r="E540" s="118"/>
      <c r="F540" s="118"/>
      <c r="G540" s="165"/>
      <c r="H540" s="144"/>
      <c r="I540" s="126"/>
    </row>
    <row r="541" spans="1:10" ht="15.95" customHeight="1" x14ac:dyDescent="0.25">
      <c r="C541" s="122"/>
      <c r="D541" s="117" t="s">
        <v>444</v>
      </c>
      <c r="E541" s="118"/>
      <c r="F541" s="123" t="s">
        <v>158</v>
      </c>
      <c r="G541" s="124">
        <v>1.2</v>
      </c>
      <c r="H541" s="144">
        <f>VLOOKUP(D541,Bahan,6,FALSE)</f>
        <v>421500</v>
      </c>
      <c r="I541" s="126">
        <f>G541*H541</f>
        <v>505800</v>
      </c>
    </row>
    <row r="542" spans="1:10" ht="15.95" customHeight="1" x14ac:dyDescent="0.25">
      <c r="C542" s="122"/>
      <c r="D542" s="117" t="s">
        <v>380</v>
      </c>
      <c r="E542" s="118"/>
      <c r="F542" s="123" t="s">
        <v>159</v>
      </c>
      <c r="G542" s="124">
        <v>202</v>
      </c>
      <c r="H542" s="144">
        <f>VLOOKUP(D542,Bahan,6,FALSE)</f>
        <v>1880</v>
      </c>
      <c r="I542" s="126">
        <f>G542*H542</f>
        <v>379760</v>
      </c>
    </row>
    <row r="543" spans="1:10" ht="15.95" customHeight="1" thickBot="1" x14ac:dyDescent="0.3">
      <c r="C543" s="122"/>
      <c r="D543" s="117" t="s">
        <v>493</v>
      </c>
      <c r="E543" s="118"/>
      <c r="F543" s="123" t="s">
        <v>158</v>
      </c>
      <c r="G543" s="124">
        <v>0.48499999999999999</v>
      </c>
      <c r="H543" s="144">
        <f>VLOOKUP(D543,Bahan,6,FALSE)</f>
        <v>253510</v>
      </c>
      <c r="I543" s="126">
        <f>G543*H543</f>
        <v>122952.34999999999</v>
      </c>
    </row>
    <row r="544" spans="1:10" ht="15.95" customHeight="1" thickBot="1" x14ac:dyDescent="0.3">
      <c r="C544" s="132"/>
      <c r="D544" s="133"/>
      <c r="E544" s="134"/>
      <c r="F544" s="134"/>
      <c r="G544" s="135" t="s">
        <v>386</v>
      </c>
      <c r="H544" s="136"/>
      <c r="I544" s="137">
        <f>SUM(I541:I543)</f>
        <v>1008512.35</v>
      </c>
    </row>
    <row r="545" spans="2:10" ht="15.95" customHeight="1" thickBot="1" x14ac:dyDescent="0.3">
      <c r="C545" s="116" t="s">
        <v>387</v>
      </c>
      <c r="D545" s="117" t="s">
        <v>388</v>
      </c>
      <c r="E545" s="118"/>
      <c r="F545" s="118"/>
      <c r="G545" s="165"/>
      <c r="H545" s="144">
        <f>IF(AND(D545&lt;&gt;"",F545&lt;&gt;""),IF(C545="",IF(F545="OH",VLOOKUP(D545,[1]UPAH!$B$3:$G$32,7,0),VLOOKUP(D545,[1]BAHAN!$A$2:$D$3,4,0)),0),0)</f>
        <v>0</v>
      </c>
      <c r="I545" s="126">
        <f>G545*H545</f>
        <v>0</v>
      </c>
    </row>
    <row r="546" spans="2:10" ht="15.95" customHeight="1" thickBot="1" x14ac:dyDescent="0.3">
      <c r="C546" s="132"/>
      <c r="D546" s="133"/>
      <c r="E546" s="134"/>
      <c r="F546" s="134"/>
      <c r="G546" s="135" t="s">
        <v>389</v>
      </c>
      <c r="H546" s="136"/>
      <c r="I546" s="137">
        <f>I545</f>
        <v>0</v>
      </c>
    </row>
    <row r="547" spans="2:10" ht="15.95" customHeight="1" x14ac:dyDescent="0.25">
      <c r="C547" s="158" t="s">
        <v>390</v>
      </c>
      <c r="D547" s="159" t="s">
        <v>391</v>
      </c>
      <c r="E547" s="160"/>
      <c r="F547" s="160"/>
      <c r="G547" s="161"/>
      <c r="H547" s="162">
        <f>IF(AND(D547&lt;&gt;"",F547&lt;&gt;""),IF(C547="",IF(F547="OH",VLOOKUP(D547,[1]UPAH!$B$3:$G$32,7,0),VLOOKUP(D547,[1]BAHAN!$A$2:$D$3,4,0)),0),0)</f>
        <v>0</v>
      </c>
      <c r="I547" s="126">
        <f>SUM(I535:I546)/2</f>
        <v>1333637.3500000001</v>
      </c>
    </row>
    <row r="548" spans="2:10" ht="15.95" customHeight="1" thickBot="1" x14ac:dyDescent="0.3">
      <c r="C548" s="147" t="s">
        <v>392</v>
      </c>
      <c r="D548" s="148" t="s">
        <v>393</v>
      </c>
      <c r="E548" s="149"/>
      <c r="F548" s="149"/>
      <c r="G548" s="164">
        <v>0.1</v>
      </c>
      <c r="H548" s="151"/>
      <c r="I548" s="146">
        <f>G548*I547</f>
        <v>133363.73500000002</v>
      </c>
    </row>
    <row r="549" spans="2:10" ht="15.95" customHeight="1" thickBot="1" x14ac:dyDescent="0.3">
      <c r="C549" s="111" t="s">
        <v>394</v>
      </c>
      <c r="D549" s="112" t="s">
        <v>395</v>
      </c>
      <c r="E549" s="134"/>
      <c r="F549" s="134"/>
      <c r="G549" s="156"/>
      <c r="H549" s="136">
        <f>IF(AND(D549&lt;&gt;"",F549&lt;&gt;""),IF(C549="",IF(F549="OH",VLOOKUP(D549,[1]UPAH!$B$3:$G$32,7,0),VLOOKUP(D549,[1]BAHAN!$A$2:$D$3,4,0)),0),0)</f>
        <v>0</v>
      </c>
      <c r="I549" s="137">
        <f>ROUNDDOWN(I547+I548,0)</f>
        <v>1467001</v>
      </c>
    </row>
    <row r="550" spans="2:10" ht="15.95" customHeight="1" x14ac:dyDescent="0.25">
      <c r="C550" s="109"/>
      <c r="D550" s="109"/>
      <c r="G550" s="157"/>
    </row>
    <row r="551" spans="2:10" ht="15.95" customHeight="1" thickBot="1" x14ac:dyDescent="0.3">
      <c r="B551" s="109" t="s">
        <v>506</v>
      </c>
      <c r="C551" s="104" t="s">
        <v>507</v>
      </c>
      <c r="G551" s="157"/>
      <c r="J551" s="110">
        <f>I568</f>
        <v>1396109</v>
      </c>
    </row>
    <row r="552" spans="2:10" ht="15.95" customHeight="1" thickBot="1" x14ac:dyDescent="0.3">
      <c r="C552" s="111" t="s">
        <v>328</v>
      </c>
      <c r="D552" s="112" t="s">
        <v>359</v>
      </c>
      <c r="E552" s="113" t="s">
        <v>360</v>
      </c>
      <c r="F552" s="113" t="s">
        <v>330</v>
      </c>
      <c r="G552" s="114" t="s">
        <v>361</v>
      </c>
      <c r="H552" s="112" t="s">
        <v>362</v>
      </c>
      <c r="I552" s="115" t="s">
        <v>363</v>
      </c>
    </row>
    <row r="553" spans="2:10" ht="15.95" customHeight="1" x14ac:dyDescent="0.25">
      <c r="C553" s="116" t="s">
        <v>364</v>
      </c>
      <c r="D553" s="117" t="s">
        <v>365</v>
      </c>
      <c r="E553" s="118"/>
      <c r="F553" s="118"/>
      <c r="G553" s="165"/>
      <c r="H553" s="144"/>
      <c r="I553" s="126"/>
    </row>
    <row r="554" spans="2:10" ht="15.95" customHeight="1" x14ac:dyDescent="0.25">
      <c r="C554" s="122"/>
      <c r="D554" s="117" t="s">
        <v>366</v>
      </c>
      <c r="E554" s="123" t="s">
        <v>367</v>
      </c>
      <c r="F554" s="123" t="s">
        <v>368</v>
      </c>
      <c r="G554" s="124">
        <v>1.5</v>
      </c>
      <c r="H554" s="125">
        <f>VLOOKUP(D554,Upah,8,FALSE)</f>
        <v>125000</v>
      </c>
      <c r="I554" s="126">
        <f>G554*H554</f>
        <v>187500</v>
      </c>
    </row>
    <row r="555" spans="2:10" ht="15.95" customHeight="1" x14ac:dyDescent="0.25">
      <c r="C555" s="122"/>
      <c r="D555" s="117" t="s">
        <v>505</v>
      </c>
      <c r="E555" s="123" t="s">
        <v>414</v>
      </c>
      <c r="F555" s="123" t="s">
        <v>368</v>
      </c>
      <c r="G555" s="124">
        <v>0.75</v>
      </c>
      <c r="H555" s="125">
        <f>VLOOKUP(D555,Upah,8,FALSE)</f>
        <v>150000</v>
      </c>
      <c r="I555" s="126">
        <f>G555*H555</f>
        <v>112500</v>
      </c>
    </row>
    <row r="556" spans="2:10" ht="15.95" customHeight="1" x14ac:dyDescent="0.25">
      <c r="C556" s="122"/>
      <c r="D556" s="117" t="s">
        <v>371</v>
      </c>
      <c r="E556" s="123" t="s">
        <v>372</v>
      </c>
      <c r="F556" s="123" t="s">
        <v>368</v>
      </c>
      <c r="G556" s="124">
        <v>7.4999999999999997E-2</v>
      </c>
      <c r="H556" s="125">
        <f>VLOOKUP(D556,Upah,8,FALSE)</f>
        <v>165000</v>
      </c>
      <c r="I556" s="126">
        <f>G556*H556</f>
        <v>12375</v>
      </c>
    </row>
    <row r="557" spans="2:10" ht="15.95" customHeight="1" thickBot="1" x14ac:dyDescent="0.3">
      <c r="C557" s="122"/>
      <c r="D557" s="117" t="s">
        <v>373</v>
      </c>
      <c r="E557" s="129" t="s">
        <v>374</v>
      </c>
      <c r="F557" s="123" t="s">
        <v>368</v>
      </c>
      <c r="G557" s="124">
        <v>7.4999999999999997E-2</v>
      </c>
      <c r="H557" s="125">
        <f>VLOOKUP(D557,Upah,8,FALSE)</f>
        <v>170000</v>
      </c>
      <c r="I557" s="126">
        <f>G557*H557</f>
        <v>12750</v>
      </c>
    </row>
    <row r="558" spans="2:10" ht="15.95" customHeight="1" thickBot="1" x14ac:dyDescent="0.3">
      <c r="C558" s="132"/>
      <c r="D558" s="133"/>
      <c r="E558" s="134"/>
      <c r="F558" s="134"/>
      <c r="G558" s="135" t="s">
        <v>375</v>
      </c>
      <c r="H558" s="136"/>
      <c r="I558" s="137">
        <f>SUM(I553:I557)</f>
        <v>325125</v>
      </c>
    </row>
    <row r="559" spans="2:10" ht="15.95" customHeight="1" x14ac:dyDescent="0.25">
      <c r="C559" s="116" t="s">
        <v>376</v>
      </c>
      <c r="D559" s="117" t="s">
        <v>377</v>
      </c>
      <c r="E559" s="118"/>
      <c r="F559" s="118"/>
      <c r="G559" s="165"/>
      <c r="H559" s="144">
        <f>IF(AND(D559&lt;&gt;"",F559&lt;&gt;""),IF(C559="",IF(F559="OH",VLOOKUP(D559,[1]UPAH!$B$3:$G$32,7,0),VLOOKUP(D559,[1]BAHAN!$A$2:$D$3,4,0)),0),0)</f>
        <v>0</v>
      </c>
      <c r="I559" s="126">
        <f>G559*H559</f>
        <v>0</v>
      </c>
    </row>
    <row r="560" spans="2:10" ht="15.95" customHeight="1" x14ac:dyDescent="0.25">
      <c r="C560" s="122"/>
      <c r="D560" s="117" t="s">
        <v>444</v>
      </c>
      <c r="E560" s="118"/>
      <c r="F560" s="123" t="s">
        <v>158</v>
      </c>
      <c r="G560" s="124">
        <v>1.2</v>
      </c>
      <c r="H560" s="144">
        <f>VLOOKUP(D560,Bahan,6,FALSE)</f>
        <v>421500</v>
      </c>
      <c r="I560" s="126">
        <f>G560*H560</f>
        <v>505800</v>
      </c>
    </row>
    <row r="561" spans="2:10" ht="15.95" customHeight="1" x14ac:dyDescent="0.25">
      <c r="C561" s="122"/>
      <c r="D561" s="117" t="s">
        <v>380</v>
      </c>
      <c r="E561" s="118"/>
      <c r="F561" s="123" t="s">
        <v>159</v>
      </c>
      <c r="G561" s="124">
        <v>163</v>
      </c>
      <c r="H561" s="144">
        <f>VLOOKUP(D561,Bahan,6,FALSE)</f>
        <v>1880</v>
      </c>
      <c r="I561" s="126">
        <f>G561*H561</f>
        <v>306440</v>
      </c>
    </row>
    <row r="562" spans="2:10" ht="15.95" customHeight="1" thickBot="1" x14ac:dyDescent="0.3">
      <c r="C562" s="122"/>
      <c r="D562" s="117" t="s">
        <v>493</v>
      </c>
      <c r="E562" s="118"/>
      <c r="F562" s="123" t="s">
        <v>158</v>
      </c>
      <c r="G562" s="124">
        <v>0.52</v>
      </c>
      <c r="H562" s="144">
        <f>VLOOKUP(D562,Bahan,6,FALSE)</f>
        <v>253510</v>
      </c>
      <c r="I562" s="126">
        <f>G562*H562</f>
        <v>131825.20000000001</v>
      </c>
    </row>
    <row r="563" spans="2:10" ht="15.95" customHeight="1" thickBot="1" x14ac:dyDescent="0.3">
      <c r="C563" s="132"/>
      <c r="D563" s="133"/>
      <c r="E563" s="134"/>
      <c r="F563" s="134"/>
      <c r="G563" s="135" t="s">
        <v>386</v>
      </c>
      <c r="H563" s="136"/>
      <c r="I563" s="137">
        <f>SUM(I559:I562)</f>
        <v>944065.2</v>
      </c>
    </row>
    <row r="564" spans="2:10" ht="15.95" customHeight="1" thickBot="1" x14ac:dyDescent="0.3">
      <c r="C564" s="116" t="s">
        <v>387</v>
      </c>
      <c r="D564" s="117" t="s">
        <v>388</v>
      </c>
      <c r="E564" s="118"/>
      <c r="F564" s="118"/>
      <c r="G564" s="165"/>
      <c r="H564" s="144">
        <f>IF(AND(D564&lt;&gt;"",F564&lt;&gt;""),IF(C564="",IF(F564="OH",VLOOKUP(D564,[1]UPAH!$B$3:$G$32,7,0),VLOOKUP(D564,[1]BAHAN!$A$2:$D$3,4,0)),0),0)</f>
        <v>0</v>
      </c>
      <c r="I564" s="126">
        <f>G564*H564</f>
        <v>0</v>
      </c>
    </row>
    <row r="565" spans="2:10" ht="15.95" customHeight="1" thickBot="1" x14ac:dyDescent="0.3">
      <c r="C565" s="132"/>
      <c r="D565" s="133"/>
      <c r="E565" s="134"/>
      <c r="F565" s="134"/>
      <c r="G565" s="135" t="s">
        <v>389</v>
      </c>
      <c r="H565" s="136"/>
      <c r="I565" s="137">
        <f>I564</f>
        <v>0</v>
      </c>
    </row>
    <row r="566" spans="2:10" ht="15.95" customHeight="1" x14ac:dyDescent="0.25">
      <c r="C566" s="158" t="s">
        <v>390</v>
      </c>
      <c r="D566" s="159" t="s">
        <v>391</v>
      </c>
      <c r="E566" s="160"/>
      <c r="F566" s="160"/>
      <c r="G566" s="161"/>
      <c r="H566" s="162">
        <f>IF(AND(D566&lt;&gt;"",F566&lt;&gt;""),IF(C566="",IF(F566="OH",VLOOKUP(D566,[1]UPAH!$B$3:$G$32,7,0),VLOOKUP(D566,[1]BAHAN!$A$2:$D$3,4,0)),0),0)</f>
        <v>0</v>
      </c>
      <c r="I566" s="126">
        <f>SUM(I554:I565)/2</f>
        <v>1269190.2</v>
      </c>
    </row>
    <row r="567" spans="2:10" ht="15.95" customHeight="1" thickBot="1" x14ac:dyDescent="0.3">
      <c r="C567" s="147" t="s">
        <v>392</v>
      </c>
      <c r="D567" s="148" t="s">
        <v>393</v>
      </c>
      <c r="E567" s="149"/>
      <c r="F567" s="149"/>
      <c r="G567" s="164">
        <v>0.1</v>
      </c>
      <c r="H567" s="151"/>
      <c r="I567" s="146">
        <f>G567*I566</f>
        <v>126919.02</v>
      </c>
    </row>
    <row r="568" spans="2:10" ht="15.95" customHeight="1" thickBot="1" x14ac:dyDescent="0.3">
      <c r="C568" s="111" t="s">
        <v>394</v>
      </c>
      <c r="D568" s="112" t="s">
        <v>395</v>
      </c>
      <c r="E568" s="134"/>
      <c r="F568" s="134"/>
      <c r="G568" s="156"/>
      <c r="H568" s="136">
        <f>IF(AND(D568&lt;&gt;"",F568&lt;&gt;""),IF(C568="",IF(F568="OH",VLOOKUP(D568,[1]UPAH!$B$3:$G$32,7,0),VLOOKUP(D568,[1]BAHAN!$A$2:$D$3,4,0)),0),0)</f>
        <v>0</v>
      </c>
      <c r="I568" s="137">
        <f>ROUNDDOWN(I566+I567,0)</f>
        <v>1396109</v>
      </c>
    </row>
    <row r="569" spans="2:10" ht="15.95" customHeight="1" x14ac:dyDescent="0.25">
      <c r="C569" s="109"/>
      <c r="D569" s="109"/>
      <c r="G569" s="157"/>
    </row>
    <row r="570" spans="2:10" ht="15.95" customHeight="1" thickBot="1" x14ac:dyDescent="0.3">
      <c r="B570" s="109" t="s">
        <v>508</v>
      </c>
      <c r="C570" s="109" t="s">
        <v>509</v>
      </c>
      <c r="G570" s="157"/>
      <c r="J570" s="110">
        <f>I587</f>
        <v>1346965</v>
      </c>
    </row>
    <row r="571" spans="2:10" ht="15.95" customHeight="1" thickBot="1" x14ac:dyDescent="0.3">
      <c r="C571" s="111" t="s">
        <v>328</v>
      </c>
      <c r="D571" s="112" t="s">
        <v>359</v>
      </c>
      <c r="E571" s="113" t="s">
        <v>360</v>
      </c>
      <c r="F571" s="113" t="s">
        <v>330</v>
      </c>
      <c r="G571" s="114" t="s">
        <v>361</v>
      </c>
      <c r="H571" s="112" t="s">
        <v>362</v>
      </c>
      <c r="I571" s="115" t="s">
        <v>363</v>
      </c>
    </row>
    <row r="572" spans="2:10" ht="15.95" customHeight="1" x14ac:dyDescent="0.25">
      <c r="C572" s="116" t="s">
        <v>364</v>
      </c>
      <c r="D572" s="117" t="s">
        <v>365</v>
      </c>
      <c r="E572" s="118"/>
      <c r="F572" s="118"/>
      <c r="G572" s="165"/>
      <c r="H572" s="144"/>
      <c r="I572" s="126"/>
    </row>
    <row r="573" spans="2:10" ht="15.95" customHeight="1" x14ac:dyDescent="0.25">
      <c r="C573" s="122"/>
      <c r="D573" s="117" t="s">
        <v>366</v>
      </c>
      <c r="E573" s="123" t="s">
        <v>367</v>
      </c>
      <c r="F573" s="123" t="s">
        <v>368</v>
      </c>
      <c r="G573" s="124">
        <v>1.5</v>
      </c>
      <c r="H573" s="125">
        <f>VLOOKUP(D573,Upah,8,FALSE)</f>
        <v>125000</v>
      </c>
      <c r="I573" s="126">
        <f>G573*H573</f>
        <v>187500</v>
      </c>
    </row>
    <row r="574" spans="2:10" ht="15.95" customHeight="1" x14ac:dyDescent="0.25">
      <c r="C574" s="122"/>
      <c r="D574" s="117" t="s">
        <v>505</v>
      </c>
      <c r="E574" s="123" t="s">
        <v>414</v>
      </c>
      <c r="F574" s="123" t="s">
        <v>368</v>
      </c>
      <c r="G574" s="124">
        <v>0.75</v>
      </c>
      <c r="H574" s="125">
        <f>VLOOKUP(D574,Upah,8,FALSE)</f>
        <v>150000</v>
      </c>
      <c r="I574" s="126">
        <f>G574*H574</f>
        <v>112500</v>
      </c>
    </row>
    <row r="575" spans="2:10" ht="15.95" customHeight="1" x14ac:dyDescent="0.25">
      <c r="C575" s="122"/>
      <c r="D575" s="117" t="s">
        <v>371</v>
      </c>
      <c r="E575" s="123" t="s">
        <v>372</v>
      </c>
      <c r="F575" s="123" t="s">
        <v>368</v>
      </c>
      <c r="G575" s="124">
        <v>7.4999999999999997E-2</v>
      </c>
      <c r="H575" s="125">
        <f>VLOOKUP(D575,Upah,8,FALSE)</f>
        <v>165000</v>
      </c>
      <c r="I575" s="126">
        <f>G575*H575</f>
        <v>12375</v>
      </c>
    </row>
    <row r="576" spans="2:10" ht="15.95" customHeight="1" thickBot="1" x14ac:dyDescent="0.3">
      <c r="C576" s="122"/>
      <c r="D576" s="117" t="s">
        <v>373</v>
      </c>
      <c r="E576" s="129" t="s">
        <v>374</v>
      </c>
      <c r="F576" s="123" t="s">
        <v>368</v>
      </c>
      <c r="G576" s="124">
        <v>7.4999999999999997E-2</v>
      </c>
      <c r="H576" s="125">
        <f>VLOOKUP(D576,Upah,8,FALSE)</f>
        <v>170000</v>
      </c>
      <c r="I576" s="126">
        <f>G576*H576</f>
        <v>12750</v>
      </c>
    </row>
    <row r="577" spans="2:10" ht="15.95" customHeight="1" thickBot="1" x14ac:dyDescent="0.3">
      <c r="C577" s="132"/>
      <c r="D577" s="133"/>
      <c r="E577" s="134"/>
      <c r="F577" s="134"/>
      <c r="G577" s="135" t="s">
        <v>375</v>
      </c>
      <c r="H577" s="136"/>
      <c r="I577" s="137">
        <f>SUM(I573:I576)</f>
        <v>325125</v>
      </c>
    </row>
    <row r="578" spans="2:10" ht="15.95" customHeight="1" x14ac:dyDescent="0.25">
      <c r="C578" s="116" t="s">
        <v>376</v>
      </c>
      <c r="D578" s="117" t="s">
        <v>377</v>
      </c>
      <c r="E578" s="118"/>
      <c r="F578" s="118"/>
      <c r="G578" s="165"/>
      <c r="H578" s="144">
        <f>IF(AND(D578&lt;&gt;"",F578&lt;&gt;""),IF(C578="",IF(F578="OH",VLOOKUP(D578,[1]UPAH!$B$3:$G$32,7,0),VLOOKUP(D578,[1]BAHAN!$A$2:$D$3,4,0)),0),0)</f>
        <v>0</v>
      </c>
      <c r="I578" s="126">
        <f>G578*H578</f>
        <v>0</v>
      </c>
    </row>
    <row r="579" spans="2:10" ht="15.95" customHeight="1" x14ac:dyDescent="0.25">
      <c r="C579" s="122"/>
      <c r="D579" s="117" t="s">
        <v>444</v>
      </c>
      <c r="E579" s="118"/>
      <c r="F579" s="123" t="s">
        <v>158</v>
      </c>
      <c r="G579" s="124">
        <v>1.2</v>
      </c>
      <c r="H579" s="144">
        <f>VLOOKUP(D579,Bahan,6,FALSE)</f>
        <v>421500</v>
      </c>
      <c r="I579" s="126">
        <f>G579*H579</f>
        <v>505800</v>
      </c>
    </row>
    <row r="580" spans="2:10" ht="15.95" customHeight="1" x14ac:dyDescent="0.25">
      <c r="C580" s="122"/>
      <c r="D580" s="117" t="s">
        <v>380</v>
      </c>
      <c r="E580" s="118"/>
      <c r="F580" s="123" t="s">
        <v>159</v>
      </c>
      <c r="G580" s="124">
        <v>136</v>
      </c>
      <c r="H580" s="144">
        <f>VLOOKUP(D580,Bahan,6,FALSE)</f>
        <v>1880</v>
      </c>
      <c r="I580" s="126">
        <f>G580*H580</f>
        <v>255680</v>
      </c>
    </row>
    <row r="581" spans="2:10" ht="15.95" customHeight="1" thickBot="1" x14ac:dyDescent="0.3">
      <c r="C581" s="122"/>
      <c r="D581" s="117" t="s">
        <v>493</v>
      </c>
      <c r="E581" s="118"/>
      <c r="F581" s="123" t="s">
        <v>158</v>
      </c>
      <c r="G581" s="124">
        <v>0.54400000000000004</v>
      </c>
      <c r="H581" s="144">
        <f>VLOOKUP(D581,Bahan,6,FALSE)</f>
        <v>253510</v>
      </c>
      <c r="I581" s="126">
        <f>G581*H581</f>
        <v>137909.44</v>
      </c>
    </row>
    <row r="582" spans="2:10" ht="15.95" customHeight="1" thickBot="1" x14ac:dyDescent="0.3">
      <c r="C582" s="132"/>
      <c r="D582" s="133"/>
      <c r="E582" s="134"/>
      <c r="F582" s="134"/>
      <c r="G582" s="135" t="s">
        <v>386</v>
      </c>
      <c r="H582" s="136"/>
      <c r="I582" s="137">
        <f>SUM(I578:I581)</f>
        <v>899389.43999999994</v>
      </c>
    </row>
    <row r="583" spans="2:10" ht="15.95" customHeight="1" thickBot="1" x14ac:dyDescent="0.3">
      <c r="C583" s="116" t="s">
        <v>387</v>
      </c>
      <c r="D583" s="117" t="s">
        <v>388</v>
      </c>
      <c r="E583" s="118"/>
      <c r="F583" s="118"/>
      <c r="G583" s="165"/>
      <c r="H583" s="144">
        <f>IF(AND(D583&lt;&gt;"",F583&lt;&gt;""),IF(C583="",IF(F583="OH",VLOOKUP(D583,[1]UPAH!$B$3:$G$32,7,0),VLOOKUP(D583,[1]BAHAN!$A$2:$D$3,4,0)),0),0)</f>
        <v>0</v>
      </c>
      <c r="I583" s="126">
        <f>G583*H583</f>
        <v>0</v>
      </c>
    </row>
    <row r="584" spans="2:10" ht="15.95" customHeight="1" thickBot="1" x14ac:dyDescent="0.3">
      <c r="C584" s="132"/>
      <c r="D584" s="133"/>
      <c r="E584" s="134"/>
      <c r="F584" s="134"/>
      <c r="G584" s="135" t="s">
        <v>389</v>
      </c>
      <c r="H584" s="136"/>
      <c r="I584" s="137">
        <f>I583</f>
        <v>0</v>
      </c>
    </row>
    <row r="585" spans="2:10" ht="15.95" customHeight="1" x14ac:dyDescent="0.25">
      <c r="C585" s="158" t="s">
        <v>390</v>
      </c>
      <c r="D585" s="159" t="s">
        <v>391</v>
      </c>
      <c r="E585" s="160"/>
      <c r="F585" s="160"/>
      <c r="G585" s="161"/>
      <c r="H585" s="162">
        <f>IF(AND(D585&lt;&gt;"",F585&lt;&gt;""),IF(C585="",IF(F585="OH",VLOOKUP(D585,[1]UPAH!$B$3:$G$32,7,0),VLOOKUP(D585,[1]BAHAN!$A$2:$D$3,4,0)),0),0)</f>
        <v>0</v>
      </c>
      <c r="I585" s="126">
        <f>SUM(I573:I584)/2</f>
        <v>1224514.44</v>
      </c>
    </row>
    <row r="586" spans="2:10" ht="15.95" customHeight="1" thickBot="1" x14ac:dyDescent="0.3">
      <c r="C586" s="147" t="s">
        <v>392</v>
      </c>
      <c r="D586" s="148" t="s">
        <v>393</v>
      </c>
      <c r="E586" s="149"/>
      <c r="F586" s="149"/>
      <c r="G586" s="164">
        <v>0.1</v>
      </c>
      <c r="H586" s="151"/>
      <c r="I586" s="146">
        <f>G586*I585</f>
        <v>122451.444</v>
      </c>
    </row>
    <row r="587" spans="2:10" ht="15.95" customHeight="1" thickBot="1" x14ac:dyDescent="0.3">
      <c r="C587" s="111" t="s">
        <v>394</v>
      </c>
      <c r="D587" s="112" t="s">
        <v>395</v>
      </c>
      <c r="E587" s="134"/>
      <c r="F587" s="134"/>
      <c r="G587" s="156"/>
      <c r="H587" s="136">
        <f>IF(AND(D587&lt;&gt;"",F587&lt;&gt;""),IF(C587="",IF(F587="OH",VLOOKUP(D587,[1]UPAH!$B$3:$G$32,7,0),VLOOKUP(D587,[1]BAHAN!$A$2:$D$3,4,0)),0),0)</f>
        <v>0</v>
      </c>
      <c r="I587" s="137">
        <f>ROUNDDOWN(I585+I586,0)</f>
        <v>1346965</v>
      </c>
    </row>
    <row r="588" spans="2:10" ht="15.95" customHeight="1" x14ac:dyDescent="0.25">
      <c r="C588" s="109"/>
      <c r="D588" s="109"/>
      <c r="G588" s="157"/>
    </row>
    <row r="589" spans="2:10" ht="15.95" customHeight="1" thickBot="1" x14ac:dyDescent="0.3">
      <c r="B589" s="109" t="s">
        <v>510</v>
      </c>
      <c r="C589" s="109" t="s">
        <v>511</v>
      </c>
      <c r="G589" s="157"/>
      <c r="J589" s="110">
        <f>I606</f>
        <v>1312414</v>
      </c>
    </row>
    <row r="590" spans="2:10" ht="15.95" customHeight="1" thickBot="1" x14ac:dyDescent="0.3">
      <c r="C590" s="111" t="s">
        <v>328</v>
      </c>
      <c r="D590" s="112" t="s">
        <v>359</v>
      </c>
      <c r="E590" s="113" t="s">
        <v>360</v>
      </c>
      <c r="F590" s="113" t="s">
        <v>330</v>
      </c>
      <c r="G590" s="114" t="s">
        <v>361</v>
      </c>
      <c r="H590" s="112" t="s">
        <v>362</v>
      </c>
      <c r="I590" s="115" t="s">
        <v>363</v>
      </c>
    </row>
    <row r="591" spans="2:10" ht="15.95" customHeight="1" x14ac:dyDescent="0.25">
      <c r="C591" s="116" t="s">
        <v>364</v>
      </c>
      <c r="D591" s="117" t="s">
        <v>365</v>
      </c>
      <c r="E591" s="118"/>
      <c r="F591" s="118"/>
      <c r="G591" s="165"/>
      <c r="H591" s="144"/>
      <c r="I591" s="126"/>
    </row>
    <row r="592" spans="2:10" ht="15.95" customHeight="1" x14ac:dyDescent="0.25">
      <c r="C592" s="122"/>
      <c r="D592" s="117" t="s">
        <v>366</v>
      </c>
      <c r="E592" s="123" t="s">
        <v>367</v>
      </c>
      <c r="F592" s="123" t="s">
        <v>368</v>
      </c>
      <c r="G592" s="124">
        <v>1.5</v>
      </c>
      <c r="H592" s="125">
        <f>VLOOKUP(D592,Upah,8,FALSE)</f>
        <v>125000</v>
      </c>
      <c r="I592" s="126">
        <f>G592*H592</f>
        <v>187500</v>
      </c>
    </row>
    <row r="593" spans="2:10" ht="15.95" customHeight="1" x14ac:dyDescent="0.25">
      <c r="C593" s="122"/>
      <c r="D593" s="117" t="s">
        <v>505</v>
      </c>
      <c r="E593" s="123" t="s">
        <v>414</v>
      </c>
      <c r="F593" s="123" t="s">
        <v>368</v>
      </c>
      <c r="G593" s="124">
        <v>0.75</v>
      </c>
      <c r="H593" s="125">
        <f>VLOOKUP(D593,Upah,8,FALSE)</f>
        <v>150000</v>
      </c>
      <c r="I593" s="126">
        <f>G593*H593</f>
        <v>112500</v>
      </c>
    </row>
    <row r="594" spans="2:10" ht="15.95" customHeight="1" x14ac:dyDescent="0.25">
      <c r="C594" s="122"/>
      <c r="D594" s="117" t="s">
        <v>371</v>
      </c>
      <c r="E594" s="123" t="s">
        <v>372</v>
      </c>
      <c r="F594" s="123" t="s">
        <v>368</v>
      </c>
      <c r="G594" s="124">
        <v>7.4999999999999997E-2</v>
      </c>
      <c r="H594" s="125">
        <f>VLOOKUP(D594,Upah,8,FALSE)</f>
        <v>165000</v>
      </c>
      <c r="I594" s="126">
        <f>G594*H594</f>
        <v>12375</v>
      </c>
    </row>
    <row r="595" spans="2:10" ht="15.95" customHeight="1" thickBot="1" x14ac:dyDescent="0.3">
      <c r="C595" s="122"/>
      <c r="D595" s="117" t="s">
        <v>373</v>
      </c>
      <c r="E595" s="129" t="s">
        <v>374</v>
      </c>
      <c r="F595" s="123" t="s">
        <v>368</v>
      </c>
      <c r="G595" s="124">
        <v>7.4999999999999997E-2</v>
      </c>
      <c r="H595" s="125">
        <f>VLOOKUP(D595,Upah,8,FALSE)</f>
        <v>170000</v>
      </c>
      <c r="I595" s="126">
        <f>G595*H595</f>
        <v>12750</v>
      </c>
    </row>
    <row r="596" spans="2:10" ht="15.95" customHeight="1" thickBot="1" x14ac:dyDescent="0.3">
      <c r="C596" s="132"/>
      <c r="D596" s="133"/>
      <c r="E596" s="134"/>
      <c r="F596" s="134"/>
      <c r="G596" s="135" t="s">
        <v>375</v>
      </c>
      <c r="H596" s="136"/>
      <c r="I596" s="137">
        <f>SUM(I592:I595)</f>
        <v>325125</v>
      </c>
    </row>
    <row r="597" spans="2:10" ht="15.95" customHeight="1" x14ac:dyDescent="0.25">
      <c r="C597" s="116" t="s">
        <v>376</v>
      </c>
      <c r="D597" s="117" t="s">
        <v>377</v>
      </c>
      <c r="E597" s="118"/>
      <c r="F597" s="118"/>
      <c r="G597" s="165"/>
      <c r="H597" s="144">
        <f>IF(AND(D597&lt;&gt;"",F597&lt;&gt;""),IF(C597="",IF(F597="OH",VLOOKUP(D597,[1]UPAH!$B$3:$G$32,7,0),VLOOKUP(D597,[1]BAHAN!$A$2:$D$3,4,0)),0),0)</f>
        <v>0</v>
      </c>
      <c r="I597" s="126">
        <f>G597*H597</f>
        <v>0</v>
      </c>
    </row>
    <row r="598" spans="2:10" ht="15.95" customHeight="1" x14ac:dyDescent="0.25">
      <c r="C598" s="122"/>
      <c r="D598" s="117" t="s">
        <v>444</v>
      </c>
      <c r="E598" s="118"/>
      <c r="F598" s="123" t="s">
        <v>158</v>
      </c>
      <c r="G598" s="124">
        <v>1.2</v>
      </c>
      <c r="H598" s="144">
        <f>VLOOKUP(D598,Bahan,6,FALSE)</f>
        <v>421500</v>
      </c>
      <c r="I598" s="126">
        <f>G598*H598</f>
        <v>505800</v>
      </c>
    </row>
    <row r="599" spans="2:10" ht="15.95" customHeight="1" x14ac:dyDescent="0.25">
      <c r="C599" s="122"/>
      <c r="D599" s="117" t="s">
        <v>380</v>
      </c>
      <c r="E599" s="118"/>
      <c r="F599" s="123" t="s">
        <v>159</v>
      </c>
      <c r="G599" s="124">
        <v>117</v>
      </c>
      <c r="H599" s="144">
        <f>VLOOKUP(D599,Bahan,6,FALSE)</f>
        <v>1880</v>
      </c>
      <c r="I599" s="126">
        <f>G599*H599</f>
        <v>219960</v>
      </c>
    </row>
    <row r="600" spans="2:10" ht="15.95" customHeight="1" thickBot="1" x14ac:dyDescent="0.3">
      <c r="C600" s="122"/>
      <c r="D600" s="117" t="s">
        <v>493</v>
      </c>
      <c r="E600" s="118"/>
      <c r="F600" s="123" t="s">
        <v>158</v>
      </c>
      <c r="G600" s="124">
        <v>0.56100000000000005</v>
      </c>
      <c r="H600" s="144">
        <f>VLOOKUP(D600,Bahan,6,FALSE)</f>
        <v>253510</v>
      </c>
      <c r="I600" s="126">
        <f>G600*H600</f>
        <v>142219.11000000002</v>
      </c>
    </row>
    <row r="601" spans="2:10" ht="15.95" customHeight="1" thickBot="1" x14ac:dyDescent="0.3">
      <c r="C601" s="132"/>
      <c r="D601" s="133"/>
      <c r="E601" s="134"/>
      <c r="F601" s="134"/>
      <c r="G601" s="135" t="s">
        <v>386</v>
      </c>
      <c r="H601" s="136"/>
      <c r="I601" s="137">
        <f>SUM(I597:I600)</f>
        <v>867979.11</v>
      </c>
    </row>
    <row r="602" spans="2:10" ht="15.95" customHeight="1" thickBot="1" x14ac:dyDescent="0.3">
      <c r="C602" s="116" t="s">
        <v>387</v>
      </c>
      <c r="D602" s="117" t="s">
        <v>388</v>
      </c>
      <c r="E602" s="118"/>
      <c r="F602" s="118"/>
      <c r="G602" s="165"/>
      <c r="H602" s="144">
        <f>IF(AND(D602&lt;&gt;"",F602&lt;&gt;""),IF(C602="",IF(F602="OH",VLOOKUP(D602,[1]UPAH!$B$3:$G$32,7,0),VLOOKUP(D602,[1]BAHAN!$A$2:$D$3,4,0)),0),0)</f>
        <v>0</v>
      </c>
      <c r="I602" s="126">
        <f>G602*H602</f>
        <v>0</v>
      </c>
    </row>
    <row r="603" spans="2:10" ht="15.95" customHeight="1" thickBot="1" x14ac:dyDescent="0.3">
      <c r="C603" s="132"/>
      <c r="D603" s="133"/>
      <c r="E603" s="134"/>
      <c r="F603" s="134"/>
      <c r="G603" s="135" t="s">
        <v>389</v>
      </c>
      <c r="H603" s="136"/>
      <c r="I603" s="137">
        <f>I602</f>
        <v>0</v>
      </c>
    </row>
    <row r="604" spans="2:10" ht="15.95" customHeight="1" x14ac:dyDescent="0.25">
      <c r="C604" s="158" t="s">
        <v>390</v>
      </c>
      <c r="D604" s="159" t="s">
        <v>391</v>
      </c>
      <c r="E604" s="160"/>
      <c r="F604" s="160"/>
      <c r="G604" s="161"/>
      <c r="H604" s="162">
        <f>IF(AND(D604&lt;&gt;"",F604&lt;&gt;""),IF(C604="",IF(F604="OH",VLOOKUP(D604,[1]UPAH!$B$3:$G$32,7,0),VLOOKUP(D604,[1]BAHAN!$A$2:$D$3,4,0)),0),0)</f>
        <v>0</v>
      </c>
      <c r="I604" s="126">
        <f>SUM(I592:I603)/2</f>
        <v>1193104.1100000001</v>
      </c>
    </row>
    <row r="605" spans="2:10" ht="15.95" customHeight="1" thickBot="1" x14ac:dyDescent="0.3">
      <c r="C605" s="147" t="s">
        <v>392</v>
      </c>
      <c r="D605" s="148" t="s">
        <v>393</v>
      </c>
      <c r="E605" s="149"/>
      <c r="F605" s="149"/>
      <c r="G605" s="164">
        <v>0.1</v>
      </c>
      <c r="H605" s="151"/>
      <c r="I605" s="146">
        <f>G605*I604</f>
        <v>119310.41100000002</v>
      </c>
    </row>
    <row r="606" spans="2:10" ht="15.95" customHeight="1" thickBot="1" x14ac:dyDescent="0.3">
      <c r="C606" s="111" t="s">
        <v>394</v>
      </c>
      <c r="D606" s="112" t="s">
        <v>395</v>
      </c>
      <c r="E606" s="134"/>
      <c r="F606" s="134"/>
      <c r="G606" s="156"/>
      <c r="H606" s="136">
        <f>IF(AND(D606&lt;&gt;"",F606&lt;&gt;""),IF(C606="",IF(F606="OH",VLOOKUP(D606,[1]UPAH!$B$3:$G$32,7,0),VLOOKUP(D606,[1]BAHAN!$A$2:$D$3,4,0)),0),0)</f>
        <v>0</v>
      </c>
      <c r="I606" s="137">
        <f>ROUNDDOWN(I604+I605,0)</f>
        <v>1312414</v>
      </c>
    </row>
    <row r="607" spans="2:10" ht="15.95" customHeight="1" x14ac:dyDescent="0.25">
      <c r="C607" s="109"/>
      <c r="D607" s="109"/>
      <c r="G607" s="157"/>
    </row>
    <row r="608" spans="2:10" ht="15.95" customHeight="1" thickBot="1" x14ac:dyDescent="0.3">
      <c r="B608" s="109" t="s">
        <v>512</v>
      </c>
      <c r="C608" s="109" t="s">
        <v>513</v>
      </c>
      <c r="G608" s="157"/>
      <c r="J608" s="110">
        <f>I625</f>
        <v>1265060</v>
      </c>
    </row>
    <row r="609" spans="3:9" ht="15.95" customHeight="1" thickBot="1" x14ac:dyDescent="0.3">
      <c r="C609" s="111" t="s">
        <v>328</v>
      </c>
      <c r="D609" s="112" t="s">
        <v>359</v>
      </c>
      <c r="E609" s="113" t="s">
        <v>360</v>
      </c>
      <c r="F609" s="113" t="s">
        <v>330</v>
      </c>
      <c r="G609" s="114" t="s">
        <v>361</v>
      </c>
      <c r="H609" s="112" t="s">
        <v>362</v>
      </c>
      <c r="I609" s="115" t="s">
        <v>363</v>
      </c>
    </row>
    <row r="610" spans="3:9" ht="15.95" customHeight="1" x14ac:dyDescent="0.25">
      <c r="C610" s="116" t="s">
        <v>364</v>
      </c>
      <c r="D610" s="117" t="s">
        <v>365</v>
      </c>
      <c r="E610" s="118"/>
      <c r="F610" s="118"/>
      <c r="G610" s="165"/>
      <c r="H610" s="144"/>
      <c r="I610" s="126"/>
    </row>
    <row r="611" spans="3:9" ht="15.95" customHeight="1" x14ac:dyDescent="0.25">
      <c r="C611" s="122"/>
      <c r="D611" s="117" t="s">
        <v>366</v>
      </c>
      <c r="E611" s="123" t="s">
        <v>367</v>
      </c>
      <c r="F611" s="123" t="s">
        <v>368</v>
      </c>
      <c r="G611" s="124">
        <v>1.5</v>
      </c>
      <c r="H611" s="125">
        <f>VLOOKUP(D611,Upah,8,FALSE)</f>
        <v>125000</v>
      </c>
      <c r="I611" s="126">
        <f>G611*H611</f>
        <v>187500</v>
      </c>
    </row>
    <row r="612" spans="3:9" ht="15.95" customHeight="1" x14ac:dyDescent="0.25">
      <c r="C612" s="122"/>
      <c r="D612" s="117" t="s">
        <v>505</v>
      </c>
      <c r="E612" s="123" t="s">
        <v>414</v>
      </c>
      <c r="F612" s="123" t="s">
        <v>368</v>
      </c>
      <c r="G612" s="124">
        <v>0.75</v>
      </c>
      <c r="H612" s="125">
        <f>VLOOKUP(D612,Upah,8,FALSE)</f>
        <v>150000</v>
      </c>
      <c r="I612" s="126">
        <f>G612*H612</f>
        <v>112500</v>
      </c>
    </row>
    <row r="613" spans="3:9" ht="15.95" customHeight="1" x14ac:dyDescent="0.25">
      <c r="C613" s="122"/>
      <c r="D613" s="117" t="s">
        <v>371</v>
      </c>
      <c r="E613" s="123" t="s">
        <v>372</v>
      </c>
      <c r="F613" s="123" t="s">
        <v>368</v>
      </c>
      <c r="G613" s="124">
        <v>7.4999999999999997E-2</v>
      </c>
      <c r="H613" s="125">
        <f>VLOOKUP(D613,Upah,8,FALSE)</f>
        <v>165000</v>
      </c>
      <c r="I613" s="126">
        <f>G613*H613</f>
        <v>12375</v>
      </c>
    </row>
    <row r="614" spans="3:9" ht="15.95" customHeight="1" thickBot="1" x14ac:dyDescent="0.3">
      <c r="C614" s="122"/>
      <c r="D614" s="117" t="s">
        <v>373</v>
      </c>
      <c r="E614" s="129" t="s">
        <v>374</v>
      </c>
      <c r="F614" s="123" t="s">
        <v>368</v>
      </c>
      <c r="G614" s="124">
        <v>7.4999999999999997E-2</v>
      </c>
      <c r="H614" s="125">
        <f>VLOOKUP(D614,Upah,8,FALSE)</f>
        <v>170000</v>
      </c>
      <c r="I614" s="126">
        <f>G614*H614</f>
        <v>12750</v>
      </c>
    </row>
    <row r="615" spans="3:9" ht="15.95" customHeight="1" thickBot="1" x14ac:dyDescent="0.3">
      <c r="C615" s="132"/>
      <c r="D615" s="133"/>
      <c r="E615" s="134"/>
      <c r="F615" s="134"/>
      <c r="G615" s="135" t="s">
        <v>375</v>
      </c>
      <c r="H615" s="136"/>
      <c r="I615" s="137">
        <f>SUM(I611:I614)</f>
        <v>325125</v>
      </c>
    </row>
    <row r="616" spans="3:9" ht="15.95" customHeight="1" x14ac:dyDescent="0.25">
      <c r="C616" s="116" t="s">
        <v>376</v>
      </c>
      <c r="D616" s="117" t="s">
        <v>377</v>
      </c>
      <c r="E616" s="118"/>
      <c r="F616" s="118"/>
      <c r="G616" s="165"/>
      <c r="H616" s="144">
        <f>IF(AND(D616&lt;&gt;"",F616&lt;&gt;""),IF(C616="",IF(F616="OH",VLOOKUP(D616,[1]UPAH!$B$3:$G$32,7,0),VLOOKUP(D616,[1]BAHAN!$A$2:$D$3,4,0)),0),0)</f>
        <v>0</v>
      </c>
      <c r="I616" s="126">
        <f>G616*H616</f>
        <v>0</v>
      </c>
    </row>
    <row r="617" spans="3:9" ht="15.95" customHeight="1" x14ac:dyDescent="0.25">
      <c r="C617" s="122"/>
      <c r="D617" s="117" t="s">
        <v>444</v>
      </c>
      <c r="E617" s="118"/>
      <c r="F617" s="123" t="s">
        <v>158</v>
      </c>
      <c r="G617" s="124">
        <v>1.2</v>
      </c>
      <c r="H617" s="144">
        <f>VLOOKUP(D617,Bahan,6,FALSE)</f>
        <v>421500</v>
      </c>
      <c r="I617" s="126">
        <f>G617*H617</f>
        <v>505800</v>
      </c>
    </row>
    <row r="618" spans="3:9" ht="15.95" customHeight="1" x14ac:dyDescent="0.25">
      <c r="C618" s="122"/>
      <c r="D618" s="117" t="s">
        <v>380</v>
      </c>
      <c r="E618" s="118"/>
      <c r="F618" s="123" t="s">
        <v>159</v>
      </c>
      <c r="G618" s="124">
        <v>91</v>
      </c>
      <c r="H618" s="144">
        <f>VLOOKUP(D618,Bahan,6,FALSE)</f>
        <v>1880</v>
      </c>
      <c r="I618" s="126">
        <f>G618*H618</f>
        <v>171080</v>
      </c>
    </row>
    <row r="619" spans="3:9" ht="15.95" customHeight="1" thickBot="1" x14ac:dyDescent="0.3">
      <c r="C619" s="122"/>
      <c r="D619" s="117" t="s">
        <v>493</v>
      </c>
      <c r="E619" s="118"/>
      <c r="F619" s="123" t="s">
        <v>158</v>
      </c>
      <c r="G619" s="124">
        <v>0.58399999999999996</v>
      </c>
      <c r="H619" s="144">
        <f>VLOOKUP(D619,Bahan,6,FALSE)</f>
        <v>253510</v>
      </c>
      <c r="I619" s="126">
        <f>G619*H619</f>
        <v>148049.84</v>
      </c>
    </row>
    <row r="620" spans="3:9" ht="15.95" customHeight="1" thickBot="1" x14ac:dyDescent="0.3">
      <c r="C620" s="132"/>
      <c r="D620" s="133"/>
      <c r="E620" s="134"/>
      <c r="F620" s="134"/>
      <c r="G620" s="135" t="s">
        <v>386</v>
      </c>
      <c r="H620" s="136"/>
      <c r="I620" s="137">
        <f>SUM(I616:I619)</f>
        <v>824929.84</v>
      </c>
    </row>
    <row r="621" spans="3:9" ht="15.95" customHeight="1" thickBot="1" x14ac:dyDescent="0.3">
      <c r="C621" s="116" t="s">
        <v>387</v>
      </c>
      <c r="D621" s="117" t="s">
        <v>388</v>
      </c>
      <c r="E621" s="118"/>
      <c r="F621" s="118"/>
      <c r="G621" s="165"/>
      <c r="H621" s="144">
        <f>IF(AND(D621&lt;&gt;"",F621&lt;&gt;""),IF(C621="",IF(F621="OH",VLOOKUP(D621,[1]UPAH!$B$3:$G$32,7,0),VLOOKUP(D621,[1]BAHAN!$A$2:$D$3,4,0)),0),0)</f>
        <v>0</v>
      </c>
      <c r="I621" s="126">
        <f>G621*H621</f>
        <v>0</v>
      </c>
    </row>
    <row r="622" spans="3:9" ht="15.95" customHeight="1" thickBot="1" x14ac:dyDescent="0.3">
      <c r="C622" s="132"/>
      <c r="D622" s="133"/>
      <c r="E622" s="134"/>
      <c r="F622" s="134"/>
      <c r="G622" s="135" t="s">
        <v>389</v>
      </c>
      <c r="H622" s="136"/>
      <c r="I622" s="137">
        <f>I621</f>
        <v>0</v>
      </c>
    </row>
    <row r="623" spans="3:9" ht="15.95" customHeight="1" x14ac:dyDescent="0.25">
      <c r="C623" s="158" t="s">
        <v>390</v>
      </c>
      <c r="D623" s="159" t="s">
        <v>391</v>
      </c>
      <c r="E623" s="160"/>
      <c r="F623" s="160"/>
      <c r="G623" s="161"/>
      <c r="H623" s="162">
        <f>IF(AND(D623&lt;&gt;"",F623&lt;&gt;""),IF(C623="",IF(F623="OH",VLOOKUP(D623,[1]UPAH!$B$3:$G$32,7,0),VLOOKUP(D623,[1]BAHAN!$A$2:$D$3,4,0)),0),0)</f>
        <v>0</v>
      </c>
      <c r="I623" s="126">
        <f>SUM(I611:I622)/2</f>
        <v>1150054.8400000001</v>
      </c>
    </row>
    <row r="624" spans="3:9" ht="15.95" customHeight="1" thickBot="1" x14ac:dyDescent="0.3">
      <c r="C624" s="147" t="s">
        <v>392</v>
      </c>
      <c r="D624" s="148" t="s">
        <v>393</v>
      </c>
      <c r="E624" s="149"/>
      <c r="F624" s="149"/>
      <c r="G624" s="164">
        <v>0.1</v>
      </c>
      <c r="H624" s="151"/>
      <c r="I624" s="146">
        <f>G624*I623</f>
        <v>115005.48400000001</v>
      </c>
    </row>
    <row r="625" spans="2:10" ht="15.95" customHeight="1" thickBot="1" x14ac:dyDescent="0.3">
      <c r="C625" s="111" t="s">
        <v>394</v>
      </c>
      <c r="D625" s="112" t="s">
        <v>395</v>
      </c>
      <c r="E625" s="134"/>
      <c r="F625" s="134"/>
      <c r="G625" s="156"/>
      <c r="H625" s="136">
        <f>IF(AND(D625&lt;&gt;"",F625&lt;&gt;""),IF(C625="",IF(F625="OH",VLOOKUP(D625,[1]UPAH!$B$3:$G$32,7,0),VLOOKUP(D625,[1]BAHAN!$A$2:$D$3,4,0)),0),0)</f>
        <v>0</v>
      </c>
      <c r="I625" s="137">
        <f>ROUNDDOWN(I623+I624,0)</f>
        <v>1265060</v>
      </c>
    </row>
    <row r="626" spans="2:10" ht="15.95" customHeight="1" x14ac:dyDescent="0.25">
      <c r="C626" s="109"/>
      <c r="D626" s="109"/>
      <c r="G626" s="157"/>
    </row>
    <row r="627" spans="2:10" ht="15.95" customHeight="1" thickBot="1" x14ac:dyDescent="0.3">
      <c r="B627" s="109" t="s">
        <v>514</v>
      </c>
      <c r="C627" s="109" t="s">
        <v>515</v>
      </c>
      <c r="G627" s="157"/>
      <c r="J627" s="110">
        <f>I645</f>
        <v>1444343</v>
      </c>
    </row>
    <row r="628" spans="2:10" ht="15.95" customHeight="1" thickBot="1" x14ac:dyDescent="0.3">
      <c r="C628" s="111" t="s">
        <v>328</v>
      </c>
      <c r="D628" s="112" t="s">
        <v>359</v>
      </c>
      <c r="E628" s="113" t="s">
        <v>360</v>
      </c>
      <c r="F628" s="113" t="s">
        <v>330</v>
      </c>
      <c r="G628" s="114" t="s">
        <v>361</v>
      </c>
      <c r="H628" s="112" t="s">
        <v>362</v>
      </c>
      <c r="I628" s="115" t="s">
        <v>363</v>
      </c>
    </row>
    <row r="629" spans="2:10" ht="15.95" customHeight="1" x14ac:dyDescent="0.25">
      <c r="C629" s="116" t="s">
        <v>364</v>
      </c>
      <c r="D629" s="117" t="s">
        <v>365</v>
      </c>
      <c r="E629" s="118"/>
      <c r="F629" s="118"/>
      <c r="G629" s="165"/>
      <c r="H629" s="144"/>
      <c r="I629" s="126"/>
    </row>
    <row r="630" spans="2:10" ht="15.95" customHeight="1" x14ac:dyDescent="0.25">
      <c r="C630" s="122"/>
      <c r="D630" s="117" t="s">
        <v>366</v>
      </c>
      <c r="E630" s="123" t="s">
        <v>367</v>
      </c>
      <c r="F630" s="123" t="s">
        <v>368</v>
      </c>
      <c r="G630" s="124">
        <v>1.5</v>
      </c>
      <c r="H630" s="125">
        <f>VLOOKUP(D630,Upah,8,FALSE)</f>
        <v>125000</v>
      </c>
      <c r="I630" s="126">
        <f>G630*H630</f>
        <v>187500</v>
      </c>
    </row>
    <row r="631" spans="2:10" ht="15.95" customHeight="1" x14ac:dyDescent="0.25">
      <c r="C631" s="122"/>
      <c r="D631" s="117" t="s">
        <v>505</v>
      </c>
      <c r="E631" s="123" t="s">
        <v>414</v>
      </c>
      <c r="F631" s="123" t="s">
        <v>368</v>
      </c>
      <c r="G631" s="124">
        <v>0.75</v>
      </c>
      <c r="H631" s="125">
        <f>VLOOKUP(D631,Upah,8,FALSE)</f>
        <v>150000</v>
      </c>
      <c r="I631" s="126">
        <f>G631*H631</f>
        <v>112500</v>
      </c>
    </row>
    <row r="632" spans="2:10" ht="15.95" customHeight="1" x14ac:dyDescent="0.25">
      <c r="C632" s="122"/>
      <c r="D632" s="117" t="s">
        <v>371</v>
      </c>
      <c r="E632" s="123" t="s">
        <v>372</v>
      </c>
      <c r="F632" s="123" t="s">
        <v>368</v>
      </c>
      <c r="G632" s="124">
        <v>7.4999999999999997E-2</v>
      </c>
      <c r="H632" s="125">
        <f>VLOOKUP(D632,Upah,8,FALSE)</f>
        <v>165000</v>
      </c>
      <c r="I632" s="126">
        <f>G632*H632</f>
        <v>12375</v>
      </c>
    </row>
    <row r="633" spans="2:10" ht="15.95" customHeight="1" thickBot="1" x14ac:dyDescent="0.3">
      <c r="C633" s="122"/>
      <c r="D633" s="117" t="s">
        <v>373</v>
      </c>
      <c r="E633" s="129" t="s">
        <v>374</v>
      </c>
      <c r="F633" s="123" t="s">
        <v>368</v>
      </c>
      <c r="G633" s="124">
        <v>7.4999999999999997E-2</v>
      </c>
      <c r="H633" s="125">
        <f>VLOOKUP(D633,Upah,8,FALSE)</f>
        <v>170000</v>
      </c>
      <c r="I633" s="126">
        <f>G633*H633</f>
        <v>12750</v>
      </c>
    </row>
    <row r="634" spans="2:10" ht="15.95" customHeight="1" thickBot="1" x14ac:dyDescent="0.3">
      <c r="C634" s="132"/>
      <c r="D634" s="133"/>
      <c r="E634" s="134"/>
      <c r="F634" s="134"/>
      <c r="G634" s="135" t="s">
        <v>375</v>
      </c>
      <c r="H634" s="136"/>
      <c r="I634" s="137">
        <f>SUM(I630:I633)</f>
        <v>325125</v>
      </c>
    </row>
    <row r="635" spans="2:10" ht="15.95" customHeight="1" x14ac:dyDescent="0.25">
      <c r="C635" s="116" t="s">
        <v>376</v>
      </c>
      <c r="D635" s="117" t="s">
        <v>377</v>
      </c>
      <c r="E635" s="118"/>
      <c r="F635" s="118"/>
      <c r="G635" s="165"/>
      <c r="H635" s="144"/>
      <c r="I635" s="126"/>
    </row>
    <row r="636" spans="2:10" ht="15.95" customHeight="1" x14ac:dyDescent="0.25">
      <c r="C636" s="122"/>
      <c r="D636" s="117" t="s">
        <v>444</v>
      </c>
      <c r="E636" s="118"/>
      <c r="F636" s="123" t="s">
        <v>158</v>
      </c>
      <c r="G636" s="124">
        <v>1.2</v>
      </c>
      <c r="H636" s="144">
        <f>VLOOKUP(D636,Bahan,6,FALSE)</f>
        <v>421500</v>
      </c>
      <c r="I636" s="126">
        <f>G636*H636</f>
        <v>505800</v>
      </c>
    </row>
    <row r="637" spans="2:10" ht="15.95" customHeight="1" x14ac:dyDescent="0.25">
      <c r="C637" s="122"/>
      <c r="D637" s="117" t="s">
        <v>492</v>
      </c>
      <c r="E637" s="118"/>
      <c r="F637" s="123" t="s">
        <v>158</v>
      </c>
      <c r="G637" s="124">
        <v>0.17</v>
      </c>
      <c r="H637" s="144">
        <f>VLOOKUP(D637,Bahan,6,FALSE)</f>
        <v>448950</v>
      </c>
      <c r="I637" s="126">
        <f>G637*H637</f>
        <v>76321.5</v>
      </c>
    </row>
    <row r="638" spans="2:10" ht="15.95" customHeight="1" x14ac:dyDescent="0.25">
      <c r="C638" s="122"/>
      <c r="D638" s="117" t="s">
        <v>380</v>
      </c>
      <c r="E638" s="118"/>
      <c r="F638" s="123" t="s">
        <v>159</v>
      </c>
      <c r="G638" s="124">
        <v>170</v>
      </c>
      <c r="H638" s="144">
        <f>VLOOKUP(D638,Bahan,6,FALSE)</f>
        <v>1880</v>
      </c>
      <c r="I638" s="126">
        <f>G638*H638</f>
        <v>319600</v>
      </c>
    </row>
    <row r="639" spans="2:10" ht="15.95" customHeight="1" thickBot="1" x14ac:dyDescent="0.3">
      <c r="C639" s="122"/>
      <c r="D639" s="117" t="s">
        <v>493</v>
      </c>
      <c r="E639" s="118"/>
      <c r="F639" s="123" t="s">
        <v>158</v>
      </c>
      <c r="G639" s="124">
        <v>0.34</v>
      </c>
      <c r="H639" s="144">
        <f>VLOOKUP(D639,Bahan,6,FALSE)</f>
        <v>253510</v>
      </c>
      <c r="I639" s="126">
        <f>G639*H639</f>
        <v>86193.400000000009</v>
      </c>
    </row>
    <row r="640" spans="2:10" ht="15.95" customHeight="1" thickBot="1" x14ac:dyDescent="0.3">
      <c r="C640" s="132"/>
      <c r="D640" s="133"/>
      <c r="E640" s="134"/>
      <c r="F640" s="134"/>
      <c r="G640" s="135" t="s">
        <v>386</v>
      </c>
      <c r="H640" s="136"/>
      <c r="I640" s="137">
        <f>SUM(I635:I639)</f>
        <v>987914.9</v>
      </c>
    </row>
    <row r="641" spans="2:10" ht="15.95" customHeight="1" thickBot="1" x14ac:dyDescent="0.3">
      <c r="C641" s="116" t="s">
        <v>387</v>
      </c>
      <c r="D641" s="117" t="s">
        <v>388</v>
      </c>
      <c r="E641" s="118"/>
      <c r="F641" s="118"/>
      <c r="G641" s="165"/>
      <c r="H641" s="144">
        <f>IF(AND(D641&lt;&gt;"",F641&lt;&gt;""),IF(C641="",IF(F641="OH",VLOOKUP(D641,[1]UPAH!$B$3:$G$32,7,0),VLOOKUP(D641,[1]BAHAN!$A$2:$D$3,4,0)),0),0)</f>
        <v>0</v>
      </c>
      <c r="I641" s="126">
        <f>G641*H641</f>
        <v>0</v>
      </c>
    </row>
    <row r="642" spans="2:10" ht="15.95" customHeight="1" thickBot="1" x14ac:dyDescent="0.3">
      <c r="C642" s="132"/>
      <c r="D642" s="133"/>
      <c r="E642" s="134"/>
      <c r="F642" s="134"/>
      <c r="G642" s="135" t="s">
        <v>389</v>
      </c>
      <c r="H642" s="136"/>
      <c r="I642" s="137">
        <f>I641</f>
        <v>0</v>
      </c>
    </row>
    <row r="643" spans="2:10" ht="15.95" customHeight="1" x14ac:dyDescent="0.25">
      <c r="C643" s="158" t="s">
        <v>390</v>
      </c>
      <c r="D643" s="159" t="s">
        <v>391</v>
      </c>
      <c r="E643" s="160"/>
      <c r="F643" s="160"/>
      <c r="G643" s="161"/>
      <c r="H643" s="162">
        <f>IF(AND(D643&lt;&gt;"",F643&lt;&gt;""),IF(C643="",IF(F643="OH",VLOOKUP(D643,[1]UPAH!$B$3:$G$32,7,0),VLOOKUP(D643,[1]BAHAN!$A$2:$D$3,4,0)),0),0)</f>
        <v>0</v>
      </c>
      <c r="I643" s="126">
        <f>SUM(I630:I642)/2</f>
        <v>1313039.8999999999</v>
      </c>
    </row>
    <row r="644" spans="2:10" ht="15.95" customHeight="1" thickBot="1" x14ac:dyDescent="0.3">
      <c r="C644" s="147" t="s">
        <v>392</v>
      </c>
      <c r="D644" s="148" t="s">
        <v>393</v>
      </c>
      <c r="E644" s="149"/>
      <c r="F644" s="149"/>
      <c r="G644" s="164">
        <v>0.1</v>
      </c>
      <c r="H644" s="151"/>
      <c r="I644" s="146">
        <f>G644*I643</f>
        <v>131303.99</v>
      </c>
    </row>
    <row r="645" spans="2:10" ht="15.95" customHeight="1" thickBot="1" x14ac:dyDescent="0.3">
      <c r="C645" s="111" t="s">
        <v>394</v>
      </c>
      <c r="D645" s="112" t="s">
        <v>395</v>
      </c>
      <c r="E645" s="134"/>
      <c r="F645" s="134"/>
      <c r="G645" s="156"/>
      <c r="H645" s="136">
        <f>IF(AND(D645&lt;&gt;"",F645&lt;&gt;""),IF(C645="",IF(F645="OH",VLOOKUP(D645,[1]UPAH!$B$3:$G$32,7,0),VLOOKUP(D645,[1]BAHAN!$A$2:$D$3,4,0)),0),0)</f>
        <v>0</v>
      </c>
      <c r="I645" s="137">
        <f>ROUNDDOWN(I643+I644,0)</f>
        <v>1444343</v>
      </c>
    </row>
    <row r="646" spans="2:10" ht="15.95" customHeight="1" x14ac:dyDescent="0.25">
      <c r="C646" s="109"/>
      <c r="D646" s="109"/>
      <c r="G646" s="157"/>
    </row>
    <row r="647" spans="2:10" ht="15.95" customHeight="1" thickBot="1" x14ac:dyDescent="0.3">
      <c r="B647" s="109" t="s">
        <v>516</v>
      </c>
      <c r="C647" s="104" t="s">
        <v>517</v>
      </c>
      <c r="G647" s="157"/>
      <c r="J647" s="110">
        <f>I665</f>
        <v>1249960</v>
      </c>
    </row>
    <row r="648" spans="2:10" ht="15.95" customHeight="1" thickBot="1" x14ac:dyDescent="0.3">
      <c r="C648" s="111" t="s">
        <v>328</v>
      </c>
      <c r="D648" s="112" t="s">
        <v>359</v>
      </c>
      <c r="E648" s="113" t="s">
        <v>360</v>
      </c>
      <c r="F648" s="113" t="s">
        <v>330</v>
      </c>
      <c r="G648" s="114" t="s">
        <v>361</v>
      </c>
      <c r="H648" s="112" t="s">
        <v>362</v>
      </c>
      <c r="I648" s="115" t="s">
        <v>363</v>
      </c>
    </row>
    <row r="649" spans="2:10" ht="15.95" customHeight="1" x14ac:dyDescent="0.25">
      <c r="C649" s="116" t="s">
        <v>364</v>
      </c>
      <c r="D649" s="117" t="s">
        <v>365</v>
      </c>
      <c r="E649" s="118"/>
      <c r="F649" s="118"/>
      <c r="G649" s="165"/>
      <c r="H649" s="144"/>
      <c r="I649" s="126"/>
    </row>
    <row r="650" spans="2:10" ht="15.95" customHeight="1" x14ac:dyDescent="0.25">
      <c r="C650" s="122"/>
      <c r="D650" s="117" t="s">
        <v>366</v>
      </c>
      <c r="E650" s="123" t="s">
        <v>367</v>
      </c>
      <c r="F650" s="123" t="s">
        <v>368</v>
      </c>
      <c r="G650" s="124">
        <v>1.5</v>
      </c>
      <c r="H650" s="125">
        <f>VLOOKUP(D650,Upah,8,FALSE)</f>
        <v>125000</v>
      </c>
      <c r="I650" s="126">
        <f>G650*H650</f>
        <v>187500</v>
      </c>
    </row>
    <row r="651" spans="2:10" ht="15.95" customHeight="1" x14ac:dyDescent="0.25">
      <c r="C651" s="122"/>
      <c r="D651" s="117" t="s">
        <v>505</v>
      </c>
      <c r="E651" s="123" t="s">
        <v>414</v>
      </c>
      <c r="F651" s="123" t="s">
        <v>368</v>
      </c>
      <c r="G651" s="124">
        <v>0.75</v>
      </c>
      <c r="H651" s="125">
        <f>VLOOKUP(D651,Upah,8,FALSE)</f>
        <v>150000</v>
      </c>
      <c r="I651" s="126">
        <f>G651*H651</f>
        <v>112500</v>
      </c>
    </row>
    <row r="652" spans="2:10" ht="15.95" customHeight="1" x14ac:dyDescent="0.25">
      <c r="C652" s="122"/>
      <c r="D652" s="117" t="s">
        <v>371</v>
      </c>
      <c r="E652" s="123" t="s">
        <v>372</v>
      </c>
      <c r="F652" s="123" t="s">
        <v>368</v>
      </c>
      <c r="G652" s="124">
        <v>7.4999999999999997E-2</v>
      </c>
      <c r="H652" s="125">
        <f>VLOOKUP(D652,Upah,8,FALSE)</f>
        <v>165000</v>
      </c>
      <c r="I652" s="126">
        <f>G652*H652</f>
        <v>12375</v>
      </c>
    </row>
    <row r="653" spans="2:10" ht="15.95" customHeight="1" thickBot="1" x14ac:dyDescent="0.3">
      <c r="C653" s="122"/>
      <c r="D653" s="117" t="s">
        <v>373</v>
      </c>
      <c r="E653" s="129" t="s">
        <v>374</v>
      </c>
      <c r="F653" s="123" t="s">
        <v>368</v>
      </c>
      <c r="G653" s="124">
        <v>7.4999999999999997E-2</v>
      </c>
      <c r="H653" s="125">
        <f>VLOOKUP(D653,Upah,8,FALSE)</f>
        <v>170000</v>
      </c>
      <c r="I653" s="126">
        <f>G653*H653</f>
        <v>12750</v>
      </c>
    </row>
    <row r="654" spans="2:10" ht="15.95" customHeight="1" thickBot="1" x14ac:dyDescent="0.3">
      <c r="C654" s="132"/>
      <c r="D654" s="133"/>
      <c r="E654" s="134"/>
      <c r="F654" s="134"/>
      <c r="G654" s="135" t="s">
        <v>375</v>
      </c>
      <c r="H654" s="136"/>
      <c r="I654" s="137">
        <f>SUM(I650:I653)</f>
        <v>325125</v>
      </c>
    </row>
    <row r="655" spans="2:10" ht="15.95" customHeight="1" x14ac:dyDescent="0.25">
      <c r="C655" s="116" t="s">
        <v>376</v>
      </c>
      <c r="D655" s="117" t="s">
        <v>377</v>
      </c>
      <c r="E655" s="118"/>
      <c r="F655" s="118"/>
      <c r="G655" s="165"/>
      <c r="H655" s="144"/>
      <c r="I655" s="126"/>
    </row>
    <row r="656" spans="2:10" ht="15.95" customHeight="1" x14ac:dyDescent="0.25">
      <c r="C656" s="122"/>
      <c r="D656" s="117" t="s">
        <v>444</v>
      </c>
      <c r="E656" s="118"/>
      <c r="F656" s="123" t="s">
        <v>158</v>
      </c>
      <c r="G656" s="124">
        <v>1.2</v>
      </c>
      <c r="H656" s="144">
        <f>VLOOKUP(D656,Bahan,6,FALSE)</f>
        <v>421500</v>
      </c>
      <c r="I656" s="126">
        <f>G656*H656</f>
        <v>505800</v>
      </c>
    </row>
    <row r="657" spans="2:10" ht="15.95" customHeight="1" x14ac:dyDescent="0.25">
      <c r="C657" s="122"/>
      <c r="D657" s="117" t="s">
        <v>380</v>
      </c>
      <c r="E657" s="118"/>
      <c r="F657" s="123" t="s">
        <v>159</v>
      </c>
      <c r="G657" s="124">
        <v>61</v>
      </c>
      <c r="H657" s="144">
        <f>VLOOKUP(D657,Bahan,6,FALSE)</f>
        <v>1880</v>
      </c>
      <c r="I657" s="126">
        <f>G657*H657</f>
        <v>114680</v>
      </c>
    </row>
    <row r="658" spans="2:10" ht="15.95" customHeight="1" x14ac:dyDescent="0.25">
      <c r="C658" s="122"/>
      <c r="D658" s="117" t="s">
        <v>492</v>
      </c>
      <c r="E658" s="118"/>
      <c r="F658" s="123" t="s">
        <v>158</v>
      </c>
      <c r="G658" s="124">
        <v>0.14699999999999999</v>
      </c>
      <c r="H658" s="144">
        <f>VLOOKUP(D658,Bahan,6,FALSE)</f>
        <v>448950</v>
      </c>
      <c r="I658" s="126">
        <f>G658*H658</f>
        <v>65995.649999999994</v>
      </c>
    </row>
    <row r="659" spans="2:10" ht="15.95" customHeight="1" thickBot="1" x14ac:dyDescent="0.3">
      <c r="C659" s="122"/>
      <c r="D659" s="117" t="s">
        <v>493</v>
      </c>
      <c r="E659" s="118"/>
      <c r="F659" s="123" t="s">
        <v>158</v>
      </c>
      <c r="G659" s="124">
        <v>0.49199999999999999</v>
      </c>
      <c r="H659" s="144">
        <f>VLOOKUP(D659,Bahan,6,FALSE)</f>
        <v>253510</v>
      </c>
      <c r="I659" s="126">
        <f>G659*H659</f>
        <v>124726.92</v>
      </c>
    </row>
    <row r="660" spans="2:10" ht="15.95" customHeight="1" thickBot="1" x14ac:dyDescent="0.3">
      <c r="C660" s="132"/>
      <c r="D660" s="133"/>
      <c r="E660" s="134"/>
      <c r="F660" s="134"/>
      <c r="G660" s="135" t="s">
        <v>386</v>
      </c>
      <c r="H660" s="136"/>
      <c r="I660" s="137">
        <f>SUM(I656:I659)</f>
        <v>811202.57000000007</v>
      </c>
    </row>
    <row r="661" spans="2:10" ht="15.95" customHeight="1" thickBot="1" x14ac:dyDescent="0.3">
      <c r="C661" s="116" t="s">
        <v>387</v>
      </c>
      <c r="D661" s="117" t="s">
        <v>388</v>
      </c>
      <c r="E661" s="118"/>
      <c r="F661" s="118"/>
      <c r="G661" s="165"/>
      <c r="H661" s="144">
        <f>IF(AND(D661&lt;&gt;"",F661&lt;&gt;""),IF(C661="",IF(F661="OH",VLOOKUP(D661,[1]UPAH!$B$3:$G$32,7,0),VLOOKUP(D661,[1]BAHAN!$A$2:$D$3,4,0)),0),0)</f>
        <v>0</v>
      </c>
      <c r="I661" s="126">
        <f>G661*H661</f>
        <v>0</v>
      </c>
    </row>
    <row r="662" spans="2:10" ht="15.95" customHeight="1" thickBot="1" x14ac:dyDescent="0.3">
      <c r="C662" s="132"/>
      <c r="D662" s="133"/>
      <c r="E662" s="134"/>
      <c r="F662" s="134"/>
      <c r="G662" s="135" t="s">
        <v>389</v>
      </c>
      <c r="H662" s="136"/>
      <c r="I662" s="137">
        <f>I661</f>
        <v>0</v>
      </c>
    </row>
    <row r="663" spans="2:10" ht="15.95" customHeight="1" x14ac:dyDescent="0.25">
      <c r="C663" s="158" t="s">
        <v>390</v>
      </c>
      <c r="D663" s="159" t="s">
        <v>391</v>
      </c>
      <c r="E663" s="160"/>
      <c r="F663" s="160"/>
      <c r="G663" s="161"/>
      <c r="H663" s="162">
        <f>IF(AND(D663&lt;&gt;"",F663&lt;&gt;""),IF(C663="",IF(F663="OH",VLOOKUP(D663,[1]UPAH!$B$3:$G$32,7,0),VLOOKUP(D663,[1]BAHAN!$A$2:$D$3,4,0)),0),0)</f>
        <v>0</v>
      </c>
      <c r="I663" s="126">
        <f>SUM(I649:I662)/2</f>
        <v>1136327.5699999998</v>
      </c>
    </row>
    <row r="664" spans="2:10" ht="15.95" customHeight="1" thickBot="1" x14ac:dyDescent="0.3">
      <c r="C664" s="147" t="s">
        <v>392</v>
      </c>
      <c r="D664" s="148" t="s">
        <v>393</v>
      </c>
      <c r="E664" s="149"/>
      <c r="F664" s="149"/>
      <c r="G664" s="164">
        <v>0.1</v>
      </c>
      <c r="H664" s="151"/>
      <c r="I664" s="146">
        <f>G664*I663</f>
        <v>113632.75699999998</v>
      </c>
    </row>
    <row r="665" spans="2:10" ht="15.95" customHeight="1" thickBot="1" x14ac:dyDescent="0.3">
      <c r="C665" s="111" t="s">
        <v>394</v>
      </c>
      <c r="D665" s="112" t="s">
        <v>395</v>
      </c>
      <c r="E665" s="134"/>
      <c r="F665" s="134"/>
      <c r="G665" s="156"/>
      <c r="H665" s="136">
        <f>IF(AND(D665&lt;&gt;"",F665&lt;&gt;""),IF(C665="",IF(F665="OH",VLOOKUP(D665,[1]UPAH!$B$3:$G$32,7,0),VLOOKUP(D665,[1]BAHAN!$A$2:$D$3,4,0)),0),0)</f>
        <v>0</v>
      </c>
      <c r="I665" s="137">
        <f>ROUNDDOWN(I663+I664,0)</f>
        <v>1249960</v>
      </c>
    </row>
    <row r="666" spans="2:10" ht="15.95" customHeight="1" x14ac:dyDescent="0.25">
      <c r="C666" s="109"/>
      <c r="D666" s="109"/>
      <c r="G666" s="157"/>
    </row>
    <row r="667" spans="2:10" ht="15.95" customHeight="1" thickBot="1" x14ac:dyDescent="0.3">
      <c r="B667" s="109" t="s">
        <v>518</v>
      </c>
      <c r="C667" s="104" t="s">
        <v>519</v>
      </c>
      <c r="G667" s="157"/>
      <c r="J667" s="110">
        <f>I685</f>
        <v>1209343</v>
      </c>
    </row>
    <row r="668" spans="2:10" ht="15.95" customHeight="1" thickBot="1" x14ac:dyDescent="0.3">
      <c r="C668" s="111" t="s">
        <v>328</v>
      </c>
      <c r="D668" s="112" t="s">
        <v>359</v>
      </c>
      <c r="E668" s="113" t="s">
        <v>360</v>
      </c>
      <c r="F668" s="113" t="s">
        <v>330</v>
      </c>
      <c r="G668" s="114" t="s">
        <v>361</v>
      </c>
      <c r="H668" s="112" t="s">
        <v>362</v>
      </c>
      <c r="I668" s="115" t="s">
        <v>363</v>
      </c>
    </row>
    <row r="669" spans="2:10" ht="15.95" customHeight="1" x14ac:dyDescent="0.25">
      <c r="C669" s="116" t="s">
        <v>364</v>
      </c>
      <c r="D669" s="117" t="s">
        <v>365</v>
      </c>
      <c r="E669" s="118"/>
      <c r="F669" s="118"/>
      <c r="G669" s="165"/>
      <c r="H669" s="144"/>
      <c r="I669" s="126"/>
    </row>
    <row r="670" spans="2:10" ht="15.95" customHeight="1" x14ac:dyDescent="0.25">
      <c r="C670" s="122"/>
      <c r="D670" s="117" t="s">
        <v>366</v>
      </c>
      <c r="E670" s="123" t="s">
        <v>367</v>
      </c>
      <c r="F670" s="123" t="s">
        <v>368</v>
      </c>
      <c r="G670" s="124">
        <v>1.5</v>
      </c>
      <c r="H670" s="125">
        <f>VLOOKUP(D670,Upah,8,FALSE)</f>
        <v>125000</v>
      </c>
      <c r="I670" s="126">
        <f>G670*H670</f>
        <v>187500</v>
      </c>
    </row>
    <row r="671" spans="2:10" ht="15.95" customHeight="1" x14ac:dyDescent="0.25">
      <c r="C671" s="122"/>
      <c r="D671" s="117" t="s">
        <v>505</v>
      </c>
      <c r="E671" s="123" t="s">
        <v>414</v>
      </c>
      <c r="F671" s="123" t="s">
        <v>368</v>
      </c>
      <c r="G671" s="124">
        <v>0.75</v>
      </c>
      <c r="H671" s="125">
        <f>VLOOKUP(D671,Upah,8,FALSE)</f>
        <v>150000</v>
      </c>
      <c r="I671" s="126">
        <f>G671*H671</f>
        <v>112500</v>
      </c>
    </row>
    <row r="672" spans="2:10" ht="15.95" customHeight="1" x14ac:dyDescent="0.25">
      <c r="C672" s="122"/>
      <c r="D672" s="117" t="s">
        <v>371</v>
      </c>
      <c r="E672" s="123" t="s">
        <v>372</v>
      </c>
      <c r="F672" s="123" t="s">
        <v>368</v>
      </c>
      <c r="G672" s="124">
        <v>7.4999999999999997E-2</v>
      </c>
      <c r="H672" s="125">
        <f>VLOOKUP(D672,Upah,8,FALSE)</f>
        <v>165000</v>
      </c>
      <c r="I672" s="126">
        <f>G672*H672</f>
        <v>12375</v>
      </c>
    </row>
    <row r="673" spans="2:10" ht="15.95" customHeight="1" thickBot="1" x14ac:dyDescent="0.3">
      <c r="C673" s="122"/>
      <c r="D673" s="117" t="s">
        <v>373</v>
      </c>
      <c r="E673" s="129" t="s">
        <v>374</v>
      </c>
      <c r="F673" s="123" t="s">
        <v>368</v>
      </c>
      <c r="G673" s="124">
        <v>7.4999999999999997E-2</v>
      </c>
      <c r="H673" s="125">
        <f>VLOOKUP(D673,Upah,8,FALSE)</f>
        <v>170000</v>
      </c>
      <c r="I673" s="126">
        <f>G673*H673</f>
        <v>12750</v>
      </c>
    </row>
    <row r="674" spans="2:10" ht="15.95" customHeight="1" thickBot="1" x14ac:dyDescent="0.3">
      <c r="C674" s="132"/>
      <c r="D674" s="133"/>
      <c r="E674" s="134"/>
      <c r="F674" s="134"/>
      <c r="G674" s="135" t="s">
        <v>375</v>
      </c>
      <c r="H674" s="136"/>
      <c r="I674" s="137">
        <f>SUM(I670:I673)</f>
        <v>325125</v>
      </c>
    </row>
    <row r="675" spans="2:10" ht="15.95" customHeight="1" x14ac:dyDescent="0.25">
      <c r="C675" s="116" t="s">
        <v>376</v>
      </c>
      <c r="D675" s="117" t="s">
        <v>377</v>
      </c>
      <c r="E675" s="118"/>
      <c r="F675" s="118"/>
      <c r="G675" s="165"/>
      <c r="H675" s="144"/>
      <c r="I675" s="126"/>
    </row>
    <row r="676" spans="2:10" ht="15.95" customHeight="1" x14ac:dyDescent="0.25">
      <c r="C676" s="122"/>
      <c r="D676" s="117" t="s">
        <v>444</v>
      </c>
      <c r="E676" s="118"/>
      <c r="F676" s="123" t="s">
        <v>158</v>
      </c>
      <c r="G676" s="124">
        <v>1.2</v>
      </c>
      <c r="H676" s="144">
        <f>VLOOKUP(D676,Bahan,6,FALSE)</f>
        <v>421500</v>
      </c>
      <c r="I676" s="126">
        <f>G676*H676</f>
        <v>505800</v>
      </c>
    </row>
    <row r="677" spans="2:10" ht="15.95" customHeight="1" x14ac:dyDescent="0.25">
      <c r="C677" s="122"/>
      <c r="D677" s="117" t="s">
        <v>380</v>
      </c>
      <c r="E677" s="118"/>
      <c r="F677" s="123" t="s">
        <v>159</v>
      </c>
      <c r="G677" s="124">
        <v>41</v>
      </c>
      <c r="H677" s="144">
        <f>VLOOKUP(D677,Bahan,6,FALSE)</f>
        <v>1880</v>
      </c>
      <c r="I677" s="126">
        <f>G677*H677</f>
        <v>77080</v>
      </c>
    </row>
    <row r="678" spans="2:10" ht="15.95" customHeight="1" x14ac:dyDescent="0.25">
      <c r="C678" s="122"/>
      <c r="D678" s="117" t="s">
        <v>492</v>
      </c>
      <c r="E678" s="118"/>
      <c r="F678" s="123" t="s">
        <v>158</v>
      </c>
      <c r="G678" s="124">
        <v>0.13100000000000001</v>
      </c>
      <c r="H678" s="144">
        <f>VLOOKUP(D678,Bahan,6,FALSE)</f>
        <v>448950</v>
      </c>
      <c r="I678" s="126">
        <f>G678*H678</f>
        <v>58812.450000000004</v>
      </c>
    </row>
    <row r="679" spans="2:10" ht="15.95" customHeight="1" thickBot="1" x14ac:dyDescent="0.3">
      <c r="C679" s="122"/>
      <c r="D679" s="117" t="s">
        <v>493</v>
      </c>
      <c r="E679" s="118"/>
      <c r="F679" s="123" t="s">
        <v>158</v>
      </c>
      <c r="G679" s="124">
        <v>0.52300000000000002</v>
      </c>
      <c r="H679" s="144">
        <f>VLOOKUP(D679,Bahan,6,FALSE)</f>
        <v>253510</v>
      </c>
      <c r="I679" s="126">
        <f>G679*H679</f>
        <v>132585.73000000001</v>
      </c>
    </row>
    <row r="680" spans="2:10" ht="15.95" customHeight="1" thickBot="1" x14ac:dyDescent="0.3">
      <c r="C680" s="132"/>
      <c r="D680" s="133"/>
      <c r="E680" s="134"/>
      <c r="F680" s="134"/>
      <c r="G680" s="135" t="s">
        <v>386</v>
      </c>
      <c r="H680" s="136"/>
      <c r="I680" s="137">
        <f>SUM(I676:I679)</f>
        <v>774278.17999999993</v>
      </c>
    </row>
    <row r="681" spans="2:10" ht="15.95" customHeight="1" thickBot="1" x14ac:dyDescent="0.3">
      <c r="C681" s="116" t="s">
        <v>387</v>
      </c>
      <c r="D681" s="117" t="s">
        <v>388</v>
      </c>
      <c r="E681" s="118"/>
      <c r="F681" s="118"/>
      <c r="G681" s="165"/>
      <c r="H681" s="144">
        <f>IF(AND(D681&lt;&gt;"",F681&lt;&gt;""),IF(C681="",IF(F681="OH",VLOOKUP(D681,[1]UPAH!$B$3:$G$32,7,0),VLOOKUP(D681,[1]BAHAN!$A$2:$D$3,4,0)),0),0)</f>
        <v>0</v>
      </c>
      <c r="I681" s="126">
        <f>G681*H681</f>
        <v>0</v>
      </c>
    </row>
    <row r="682" spans="2:10" ht="15.95" customHeight="1" thickBot="1" x14ac:dyDescent="0.3">
      <c r="C682" s="132"/>
      <c r="D682" s="133"/>
      <c r="E682" s="134"/>
      <c r="F682" s="134"/>
      <c r="G682" s="135" t="s">
        <v>389</v>
      </c>
      <c r="H682" s="136"/>
      <c r="I682" s="137">
        <f>I681</f>
        <v>0</v>
      </c>
    </row>
    <row r="683" spans="2:10" ht="15.95" customHeight="1" x14ac:dyDescent="0.25">
      <c r="C683" s="158" t="s">
        <v>390</v>
      </c>
      <c r="D683" s="159" t="s">
        <v>391</v>
      </c>
      <c r="E683" s="160"/>
      <c r="F683" s="160"/>
      <c r="G683" s="161"/>
      <c r="H683" s="162">
        <f>IF(AND(D683&lt;&gt;"",F683&lt;&gt;""),IF(C683="",IF(F683="OH",VLOOKUP(D683,[1]UPAH!$B$3:$G$32,7,0),VLOOKUP(D683,[1]BAHAN!$A$2:$D$3,4,0)),0),0)</f>
        <v>0</v>
      </c>
      <c r="I683" s="126">
        <f>SUM(I669:I682)/2</f>
        <v>1099403.18</v>
      </c>
    </row>
    <row r="684" spans="2:10" ht="15.95" customHeight="1" thickBot="1" x14ac:dyDescent="0.3">
      <c r="C684" s="147" t="s">
        <v>392</v>
      </c>
      <c r="D684" s="148" t="s">
        <v>393</v>
      </c>
      <c r="E684" s="149"/>
      <c r="F684" s="149"/>
      <c r="G684" s="164">
        <v>0.1</v>
      </c>
      <c r="H684" s="151"/>
      <c r="I684" s="146">
        <f>G684*I683</f>
        <v>109940.318</v>
      </c>
    </row>
    <row r="685" spans="2:10" ht="15.95" customHeight="1" thickBot="1" x14ac:dyDescent="0.3">
      <c r="C685" s="111" t="s">
        <v>394</v>
      </c>
      <c r="D685" s="112" t="s">
        <v>395</v>
      </c>
      <c r="E685" s="134"/>
      <c r="F685" s="134"/>
      <c r="G685" s="156"/>
      <c r="H685" s="136">
        <f>IF(AND(D685&lt;&gt;"",F685&lt;&gt;""),IF(C685="",IF(F685="OH",VLOOKUP(D685,[1]UPAH!$B$3:$G$32,7,0),VLOOKUP(D685,[1]BAHAN!$A$2:$D$3,4,0)),0),0)</f>
        <v>0</v>
      </c>
      <c r="I685" s="137">
        <f>ROUNDDOWN(I683+I684,0)</f>
        <v>1209343</v>
      </c>
    </row>
    <row r="686" spans="2:10" ht="15.95" customHeight="1" x14ac:dyDescent="0.25">
      <c r="C686" s="109"/>
      <c r="D686" s="109"/>
      <c r="G686" s="157"/>
    </row>
    <row r="687" spans="2:10" ht="15.95" customHeight="1" thickBot="1" x14ac:dyDescent="0.3">
      <c r="B687" s="247" t="s">
        <v>520</v>
      </c>
      <c r="C687" s="104" t="s">
        <v>521</v>
      </c>
      <c r="G687" s="157"/>
      <c r="J687" s="110">
        <f>I703</f>
        <v>885381</v>
      </c>
    </row>
    <row r="688" spans="2:10" ht="15.95" customHeight="1" thickBot="1" x14ac:dyDescent="0.3">
      <c r="C688" s="111" t="s">
        <v>328</v>
      </c>
      <c r="D688" s="112" t="s">
        <v>359</v>
      </c>
      <c r="E688" s="113" t="s">
        <v>360</v>
      </c>
      <c r="F688" s="113" t="s">
        <v>330</v>
      </c>
      <c r="G688" s="114" t="s">
        <v>361</v>
      </c>
      <c r="H688" s="112" t="s">
        <v>362</v>
      </c>
      <c r="I688" s="115" t="s">
        <v>363</v>
      </c>
    </row>
    <row r="689" spans="3:9" ht="15.95" customHeight="1" x14ac:dyDescent="0.25">
      <c r="C689" s="116" t="s">
        <v>364</v>
      </c>
      <c r="D689" s="117" t="s">
        <v>365</v>
      </c>
      <c r="E689" s="118"/>
      <c r="F689" s="118"/>
      <c r="G689" s="165"/>
      <c r="H689" s="144"/>
      <c r="I689" s="126"/>
    </row>
    <row r="690" spans="3:9" ht="15.95" customHeight="1" x14ac:dyDescent="0.25">
      <c r="C690" s="122"/>
      <c r="D690" s="117" t="s">
        <v>366</v>
      </c>
      <c r="E690" s="123" t="s">
        <v>367</v>
      </c>
      <c r="F690" s="123" t="s">
        <v>368</v>
      </c>
      <c r="G690" s="124">
        <v>0.78</v>
      </c>
      <c r="H690" s="125">
        <f>VLOOKUP(D690,Upah,8,FALSE)</f>
        <v>125000</v>
      </c>
      <c r="I690" s="126">
        <f>G690*H690</f>
        <v>97500</v>
      </c>
    </row>
    <row r="691" spans="3:9" ht="15.95" customHeight="1" x14ac:dyDescent="0.25">
      <c r="C691" s="122"/>
      <c r="D691" s="117" t="s">
        <v>505</v>
      </c>
      <c r="E691" s="123" t="s">
        <v>414</v>
      </c>
      <c r="F691" s="123" t="s">
        <v>368</v>
      </c>
      <c r="G691" s="124">
        <v>0.39</v>
      </c>
      <c r="H691" s="125">
        <f>VLOOKUP(D691,Upah,8,FALSE)</f>
        <v>150000</v>
      </c>
      <c r="I691" s="126">
        <f>G691*H691</f>
        <v>58500</v>
      </c>
    </row>
    <row r="692" spans="3:9" ht="15.95" customHeight="1" x14ac:dyDescent="0.25">
      <c r="C692" s="122"/>
      <c r="D692" s="117" t="s">
        <v>371</v>
      </c>
      <c r="E692" s="123" t="s">
        <v>372</v>
      </c>
      <c r="F692" s="123" t="s">
        <v>368</v>
      </c>
      <c r="G692" s="124">
        <v>3.9E-2</v>
      </c>
      <c r="H692" s="125">
        <f>VLOOKUP(D692,Upah,8,FALSE)</f>
        <v>165000</v>
      </c>
      <c r="I692" s="126">
        <f>G692*H692</f>
        <v>6435</v>
      </c>
    </row>
    <row r="693" spans="3:9" ht="15.95" customHeight="1" thickBot="1" x14ac:dyDescent="0.3">
      <c r="C693" s="122"/>
      <c r="D693" s="117" t="s">
        <v>373</v>
      </c>
      <c r="E693" s="129" t="s">
        <v>374</v>
      </c>
      <c r="F693" s="123" t="s">
        <v>368</v>
      </c>
      <c r="G693" s="124">
        <v>3.9E-2</v>
      </c>
      <c r="H693" s="125">
        <f>VLOOKUP(D693,Upah,8,FALSE)</f>
        <v>170000</v>
      </c>
      <c r="I693" s="126">
        <f>G693*H693</f>
        <v>6630</v>
      </c>
    </row>
    <row r="694" spans="3:9" ht="15.95" customHeight="1" thickBot="1" x14ac:dyDescent="0.3">
      <c r="C694" s="132"/>
      <c r="D694" s="133"/>
      <c r="E694" s="134"/>
      <c r="F694" s="134"/>
      <c r="G694" s="135" t="s">
        <v>375</v>
      </c>
      <c r="H694" s="136"/>
      <c r="I694" s="137">
        <f>SUM(I690:I693)</f>
        <v>169065</v>
      </c>
    </row>
    <row r="695" spans="3:9" ht="15.95" customHeight="1" x14ac:dyDescent="0.25">
      <c r="C695" s="116" t="s">
        <v>376</v>
      </c>
      <c r="D695" s="117" t="s">
        <v>377</v>
      </c>
      <c r="E695" s="118"/>
      <c r="F695" s="118"/>
      <c r="G695" s="165"/>
      <c r="H695" s="144"/>
      <c r="I695" s="126"/>
    </row>
    <row r="696" spans="3:9" ht="15.95" customHeight="1" x14ac:dyDescent="0.25">
      <c r="C696" s="122"/>
      <c r="D696" s="117" t="s">
        <v>444</v>
      </c>
      <c r="E696" s="118"/>
      <c r="F696" s="123" t="s">
        <v>158</v>
      </c>
      <c r="G696" s="124">
        <v>1.2</v>
      </c>
      <c r="H696" s="144">
        <f>VLOOKUP(D696,Bahan,6,FALSE)</f>
        <v>421500</v>
      </c>
      <c r="I696" s="126">
        <f>G696*H696</f>
        <v>505800</v>
      </c>
    </row>
    <row r="697" spans="3:9" ht="15.95" customHeight="1" thickBot="1" x14ac:dyDescent="0.3">
      <c r="C697" s="122"/>
      <c r="D697" s="117" t="s">
        <v>488</v>
      </c>
      <c r="E697" s="118"/>
      <c r="F697" s="123" t="s">
        <v>158</v>
      </c>
      <c r="G697" s="124">
        <v>0.432</v>
      </c>
      <c r="H697" s="144">
        <f>VLOOKUP(D697,Bahan,6,FALSE)</f>
        <v>300990</v>
      </c>
      <c r="I697" s="126">
        <f>G697*H697</f>
        <v>130027.68</v>
      </c>
    </row>
    <row r="698" spans="3:9" ht="15.95" customHeight="1" thickBot="1" x14ac:dyDescent="0.3">
      <c r="C698" s="132"/>
      <c r="D698" s="133"/>
      <c r="E698" s="134"/>
      <c r="F698" s="134"/>
      <c r="G698" s="135" t="s">
        <v>386</v>
      </c>
      <c r="H698" s="136"/>
      <c r="I698" s="137">
        <f>SUM(I696:I697)</f>
        <v>635827.67999999993</v>
      </c>
    </row>
    <row r="699" spans="3:9" ht="15.95" customHeight="1" thickBot="1" x14ac:dyDescent="0.3">
      <c r="C699" s="116" t="s">
        <v>387</v>
      </c>
      <c r="D699" s="117" t="s">
        <v>388</v>
      </c>
      <c r="E699" s="118"/>
      <c r="F699" s="118"/>
      <c r="G699" s="165"/>
      <c r="H699" s="144">
        <f>IF(AND(D699&lt;&gt;"",F699&lt;&gt;""),IF(C699="",IF(F699="OH",VLOOKUP(D699,[1]UPAH!$B$3:$G$32,7,0),VLOOKUP(D699,[1]BAHAN!$A$2:$D$3,4,0)),0),0)</f>
        <v>0</v>
      </c>
      <c r="I699" s="126">
        <f>G699*H699</f>
        <v>0</v>
      </c>
    </row>
    <row r="700" spans="3:9" ht="15.95" customHeight="1" thickBot="1" x14ac:dyDescent="0.3">
      <c r="C700" s="132"/>
      <c r="D700" s="133"/>
      <c r="E700" s="134"/>
      <c r="F700" s="134"/>
      <c r="G700" s="135" t="s">
        <v>389</v>
      </c>
      <c r="H700" s="136"/>
      <c r="I700" s="137">
        <f>I699</f>
        <v>0</v>
      </c>
    </row>
    <row r="701" spans="3:9" ht="15.95" customHeight="1" x14ac:dyDescent="0.25">
      <c r="C701" s="158" t="s">
        <v>390</v>
      </c>
      <c r="D701" s="159" t="s">
        <v>391</v>
      </c>
      <c r="E701" s="160"/>
      <c r="F701" s="160"/>
      <c r="G701" s="161"/>
      <c r="H701" s="162">
        <f>IF(AND(D701&lt;&gt;"",F701&lt;&gt;""),IF(C701="",IF(F701="OH",VLOOKUP(D701,[1]UPAH!$B$3:$G$32,7,0),VLOOKUP(D701,[1]BAHAN!$A$2:$D$3,4,0)),0),0)</f>
        <v>0</v>
      </c>
      <c r="I701" s="126">
        <f>SUM(I690:I700)/2</f>
        <v>804892.67999999993</v>
      </c>
    </row>
    <row r="702" spans="3:9" ht="15.95" customHeight="1" thickBot="1" x14ac:dyDescent="0.3">
      <c r="C702" s="147" t="s">
        <v>392</v>
      </c>
      <c r="D702" s="148" t="s">
        <v>393</v>
      </c>
      <c r="E702" s="149"/>
      <c r="F702" s="149"/>
      <c r="G702" s="164">
        <v>0.1</v>
      </c>
      <c r="H702" s="151"/>
      <c r="I702" s="146">
        <f>G702*I701</f>
        <v>80489.267999999996</v>
      </c>
    </row>
    <row r="703" spans="3:9" ht="15.95" customHeight="1" thickBot="1" x14ac:dyDescent="0.3">
      <c r="C703" s="111" t="s">
        <v>394</v>
      </c>
      <c r="D703" s="112" t="s">
        <v>395</v>
      </c>
      <c r="E703" s="134"/>
      <c r="F703" s="134"/>
      <c r="G703" s="156"/>
      <c r="H703" s="136">
        <f>IF(AND(D703&lt;&gt;"",F703&lt;&gt;""),IF(C703="",IF(F703="OH",VLOOKUP(D703,[1]UPAH!$B$3:$G$32,7,0),VLOOKUP(D703,[1]BAHAN!$A$2:$D$3,4,0)),0),0)</f>
        <v>0</v>
      </c>
      <c r="I703" s="137">
        <f>ROUNDDOWN(I701+I702,0)</f>
        <v>885381</v>
      </c>
    </row>
    <row r="704" spans="3:9" ht="15.95" customHeight="1" x14ac:dyDescent="0.25">
      <c r="C704" s="109"/>
      <c r="D704" s="109"/>
      <c r="G704" s="157"/>
    </row>
    <row r="705" spans="2:10" ht="15.95" customHeight="1" thickBot="1" x14ac:dyDescent="0.3">
      <c r="B705" s="109" t="s">
        <v>522</v>
      </c>
      <c r="C705" s="109" t="s">
        <v>523</v>
      </c>
      <c r="G705" s="157"/>
      <c r="J705" s="110">
        <f>I725</f>
        <v>3552398</v>
      </c>
    </row>
    <row r="706" spans="2:10" ht="15.95" customHeight="1" thickBot="1" x14ac:dyDescent="0.3">
      <c r="C706" s="111" t="s">
        <v>328</v>
      </c>
      <c r="D706" s="112" t="s">
        <v>359</v>
      </c>
      <c r="E706" s="113" t="s">
        <v>360</v>
      </c>
      <c r="F706" s="113" t="s">
        <v>330</v>
      </c>
      <c r="G706" s="114" t="s">
        <v>361</v>
      </c>
      <c r="H706" s="112" t="s">
        <v>362</v>
      </c>
      <c r="I706" s="115" t="s">
        <v>363</v>
      </c>
    </row>
    <row r="707" spans="2:10" ht="15.95" customHeight="1" x14ac:dyDescent="0.25">
      <c r="C707" s="116" t="s">
        <v>364</v>
      </c>
      <c r="D707" s="117" t="s">
        <v>365</v>
      </c>
      <c r="E707" s="118"/>
      <c r="F707" s="118"/>
      <c r="G707" s="165"/>
      <c r="H707" s="144"/>
      <c r="I707" s="126"/>
    </row>
    <row r="708" spans="2:10" ht="15.95" customHeight="1" x14ac:dyDescent="0.25">
      <c r="C708" s="122"/>
      <c r="D708" s="117" t="s">
        <v>366</v>
      </c>
      <c r="E708" s="123" t="s">
        <v>367</v>
      </c>
      <c r="F708" s="123" t="s">
        <v>368</v>
      </c>
      <c r="G708" s="124">
        <v>3.4</v>
      </c>
      <c r="H708" s="125">
        <f>VLOOKUP(D708,Upah,8,FALSE)</f>
        <v>125000</v>
      </c>
      <c r="I708" s="126">
        <f>G708*H708</f>
        <v>425000</v>
      </c>
    </row>
    <row r="709" spans="2:10" ht="15.95" customHeight="1" x14ac:dyDescent="0.25">
      <c r="C709" s="122"/>
      <c r="D709" s="117" t="s">
        <v>505</v>
      </c>
      <c r="E709" s="123" t="s">
        <v>414</v>
      </c>
      <c r="F709" s="123" t="s">
        <v>368</v>
      </c>
      <c r="G709" s="124">
        <v>0.85</v>
      </c>
      <c r="H709" s="125">
        <f>VLOOKUP(D709,Upah,8,FALSE)</f>
        <v>150000</v>
      </c>
      <c r="I709" s="126">
        <f>G709*H709</f>
        <v>127500</v>
      </c>
    </row>
    <row r="710" spans="2:10" ht="15.95" customHeight="1" x14ac:dyDescent="0.25">
      <c r="C710" s="122"/>
      <c r="D710" s="117" t="s">
        <v>371</v>
      </c>
      <c r="E710" s="123" t="s">
        <v>372</v>
      </c>
      <c r="F710" s="123" t="s">
        <v>368</v>
      </c>
      <c r="G710" s="124">
        <v>8.5000000000000006E-2</v>
      </c>
      <c r="H710" s="125">
        <f>VLOOKUP(D710,Upah,8,FALSE)</f>
        <v>165000</v>
      </c>
      <c r="I710" s="126">
        <f>G710*H710</f>
        <v>14025.000000000002</v>
      </c>
    </row>
    <row r="711" spans="2:10" ht="15.95" customHeight="1" thickBot="1" x14ac:dyDescent="0.3">
      <c r="C711" s="122"/>
      <c r="D711" s="117" t="s">
        <v>373</v>
      </c>
      <c r="E711" s="129" t="s">
        <v>374</v>
      </c>
      <c r="F711" s="123" t="s">
        <v>368</v>
      </c>
      <c r="G711" s="124">
        <v>0.17</v>
      </c>
      <c r="H711" s="125">
        <f>VLOOKUP(D711,Upah,8,FALSE)</f>
        <v>170000</v>
      </c>
      <c r="I711" s="126">
        <f>G711*H711</f>
        <v>28900.000000000004</v>
      </c>
    </row>
    <row r="712" spans="2:10" ht="15.95" customHeight="1" thickBot="1" x14ac:dyDescent="0.3">
      <c r="C712" s="132"/>
      <c r="D712" s="133"/>
      <c r="E712" s="134"/>
      <c r="F712" s="134"/>
      <c r="G712" s="135" t="s">
        <v>375</v>
      </c>
      <c r="H712" s="136"/>
      <c r="I712" s="137">
        <f>SUM(I708:I711)</f>
        <v>595425</v>
      </c>
    </row>
    <row r="713" spans="2:10" ht="15.95" customHeight="1" x14ac:dyDescent="0.25">
      <c r="C713" s="116" t="s">
        <v>376</v>
      </c>
      <c r="D713" s="117" t="s">
        <v>377</v>
      </c>
      <c r="E713" s="118"/>
      <c r="F713" s="118"/>
      <c r="G713" s="165"/>
      <c r="H713" s="144"/>
      <c r="I713" s="126"/>
    </row>
    <row r="714" spans="2:10" ht="15.95" customHeight="1" x14ac:dyDescent="0.25">
      <c r="C714" s="122"/>
      <c r="D714" s="117" t="s">
        <v>444</v>
      </c>
      <c r="E714" s="118"/>
      <c r="F714" s="123" t="s">
        <v>158</v>
      </c>
      <c r="G714" s="124">
        <v>0.48</v>
      </c>
      <c r="H714" s="144">
        <f t="shared" ref="H714:H719" si="13">VLOOKUP(D714,Bahan,6,FALSE)</f>
        <v>421500</v>
      </c>
      <c r="I714" s="126">
        <f t="shared" ref="I714:I719" si="14">G714*H714</f>
        <v>202320</v>
      </c>
    </row>
    <row r="715" spans="2:10" ht="15.95" customHeight="1" x14ac:dyDescent="0.25">
      <c r="C715" s="122"/>
      <c r="D715" s="117" t="s">
        <v>380</v>
      </c>
      <c r="E715" s="118"/>
      <c r="F715" s="123" t="s">
        <v>159</v>
      </c>
      <c r="G715" s="124">
        <v>194</v>
      </c>
      <c r="H715" s="144">
        <f t="shared" si="13"/>
        <v>1880</v>
      </c>
      <c r="I715" s="126">
        <f t="shared" si="14"/>
        <v>364720</v>
      </c>
    </row>
    <row r="716" spans="2:10" ht="15.95" customHeight="1" x14ac:dyDescent="0.25">
      <c r="C716" s="122"/>
      <c r="D716" s="117" t="s">
        <v>1924</v>
      </c>
      <c r="E716" s="118"/>
      <c r="F716" s="123" t="s">
        <v>158</v>
      </c>
      <c r="G716" s="124">
        <v>0.312</v>
      </c>
      <c r="H716" s="144">
        <f t="shared" si="13"/>
        <v>350000</v>
      </c>
      <c r="I716" s="126">
        <f t="shared" si="14"/>
        <v>109200</v>
      </c>
    </row>
    <row r="717" spans="2:10" ht="15.95" customHeight="1" x14ac:dyDescent="0.25">
      <c r="C717" s="122"/>
      <c r="D717" s="117" t="s">
        <v>1922</v>
      </c>
      <c r="E717" s="118"/>
      <c r="F717" s="123" t="s">
        <v>158</v>
      </c>
      <c r="G717" s="124">
        <v>0.46800000000000003</v>
      </c>
      <c r="H717" s="144">
        <f t="shared" si="13"/>
        <v>600000</v>
      </c>
      <c r="I717" s="126">
        <f t="shared" si="14"/>
        <v>280800</v>
      </c>
    </row>
    <row r="718" spans="2:10" ht="15.95" customHeight="1" x14ac:dyDescent="0.25">
      <c r="C718" s="122"/>
      <c r="D718" s="117" t="s">
        <v>524</v>
      </c>
      <c r="E718" s="118"/>
      <c r="F718" s="123" t="s">
        <v>159</v>
      </c>
      <c r="G718" s="124">
        <v>126</v>
      </c>
      <c r="H718" s="144">
        <f t="shared" si="13"/>
        <v>12920</v>
      </c>
      <c r="I718" s="126">
        <f t="shared" si="14"/>
        <v>1627920</v>
      </c>
    </row>
    <row r="719" spans="2:10" ht="15.95" customHeight="1" thickBot="1" x14ac:dyDescent="0.3">
      <c r="C719" s="122"/>
      <c r="D719" s="117" t="s">
        <v>525</v>
      </c>
      <c r="E719" s="118"/>
      <c r="F719" s="123" t="s">
        <v>159</v>
      </c>
      <c r="G719" s="124">
        <v>1.8</v>
      </c>
      <c r="H719" s="144">
        <f t="shared" si="13"/>
        <v>27260</v>
      </c>
      <c r="I719" s="126">
        <f t="shared" si="14"/>
        <v>49068</v>
      </c>
    </row>
    <row r="720" spans="2:10" ht="15.95" customHeight="1" thickBot="1" x14ac:dyDescent="0.3">
      <c r="C720" s="132"/>
      <c r="D720" s="133"/>
      <c r="E720" s="134"/>
      <c r="F720" s="134"/>
      <c r="G720" s="135" t="s">
        <v>386</v>
      </c>
      <c r="H720" s="136"/>
      <c r="I720" s="137">
        <f>SUM(I714:I719)</f>
        <v>2634028</v>
      </c>
    </row>
    <row r="721" spans="2:10" ht="15.95" customHeight="1" thickBot="1" x14ac:dyDescent="0.3">
      <c r="C721" s="116" t="s">
        <v>387</v>
      </c>
      <c r="D721" s="117" t="s">
        <v>388</v>
      </c>
      <c r="E721" s="118"/>
      <c r="F721" s="118"/>
      <c r="G721" s="165"/>
      <c r="H721" s="144">
        <f>IF(AND(D721&lt;&gt;"",F721&lt;&gt;""),IF(C721="",IF(F721="OH",VLOOKUP(D721,[1]UPAH!$B$3:$G$32,7,0),VLOOKUP(D721,[1]BAHAN!$A$2:$D$3,4,0)),0),0)</f>
        <v>0</v>
      </c>
      <c r="I721" s="126">
        <f>G721*H721</f>
        <v>0</v>
      </c>
    </row>
    <row r="722" spans="2:10" ht="15.95" customHeight="1" thickBot="1" x14ac:dyDescent="0.3">
      <c r="C722" s="132"/>
      <c r="D722" s="133"/>
      <c r="E722" s="134"/>
      <c r="F722" s="134"/>
      <c r="G722" s="135" t="s">
        <v>389</v>
      </c>
      <c r="H722" s="136"/>
      <c r="I722" s="137">
        <f>I721</f>
        <v>0</v>
      </c>
    </row>
    <row r="723" spans="2:10" ht="15.95" customHeight="1" x14ac:dyDescent="0.25">
      <c r="C723" s="158" t="s">
        <v>390</v>
      </c>
      <c r="D723" s="159" t="s">
        <v>391</v>
      </c>
      <c r="E723" s="160"/>
      <c r="F723" s="160"/>
      <c r="G723" s="161"/>
      <c r="H723" s="162">
        <f>IF(AND(D723&lt;&gt;"",F723&lt;&gt;""),IF(C723="",IF(F723="OH",VLOOKUP(D723,[1]UPAH!$B$3:$G$32,7,0),VLOOKUP(D723,[1]BAHAN!$A$2:$D$3,4,0)),0),0)</f>
        <v>0</v>
      </c>
      <c r="I723" s="126">
        <f>SUM(I708:I722)/2</f>
        <v>3229453</v>
      </c>
    </row>
    <row r="724" spans="2:10" ht="15.95" customHeight="1" thickBot="1" x14ac:dyDescent="0.3">
      <c r="C724" s="147" t="s">
        <v>392</v>
      </c>
      <c r="D724" s="148" t="s">
        <v>393</v>
      </c>
      <c r="E724" s="149"/>
      <c r="F724" s="149"/>
      <c r="G724" s="164">
        <v>0.1</v>
      </c>
      <c r="H724" s="151"/>
      <c r="I724" s="146">
        <f>G724*I723</f>
        <v>322945.30000000005</v>
      </c>
    </row>
    <row r="725" spans="2:10" ht="15.95" customHeight="1" thickBot="1" x14ac:dyDescent="0.3">
      <c r="C725" s="111" t="s">
        <v>394</v>
      </c>
      <c r="D725" s="112" t="s">
        <v>395</v>
      </c>
      <c r="E725" s="134"/>
      <c r="F725" s="134"/>
      <c r="G725" s="156"/>
      <c r="H725" s="136">
        <f>IF(AND(D725&lt;&gt;"",F725&lt;&gt;""),IF(C725="",IF(F725="OH",VLOOKUP(D725,[1]UPAH!$B$3:$G$32,7,0),VLOOKUP(D725,[1]BAHAN!$A$2:$D$3,4,0)),0),0)</f>
        <v>0</v>
      </c>
      <c r="I725" s="137">
        <f>ROUNDDOWN(I723+I724,0)</f>
        <v>3552398</v>
      </c>
    </row>
    <row r="726" spans="2:10" ht="15.95" customHeight="1" x14ac:dyDescent="0.25">
      <c r="C726" s="109"/>
      <c r="D726" s="109"/>
      <c r="G726" s="157"/>
    </row>
    <row r="727" spans="2:10" ht="15.95" customHeight="1" thickBot="1" x14ac:dyDescent="0.3">
      <c r="B727" s="109" t="s">
        <v>526</v>
      </c>
      <c r="C727" s="104" t="s">
        <v>527</v>
      </c>
      <c r="G727" s="157"/>
      <c r="J727" s="110">
        <f>I745</f>
        <v>1537607</v>
      </c>
    </row>
    <row r="728" spans="2:10" ht="15.95" customHeight="1" thickBot="1" x14ac:dyDescent="0.3">
      <c r="C728" s="111" t="s">
        <v>328</v>
      </c>
      <c r="D728" s="112" t="s">
        <v>359</v>
      </c>
      <c r="E728" s="113" t="s">
        <v>360</v>
      </c>
      <c r="F728" s="113" t="s">
        <v>330</v>
      </c>
      <c r="G728" s="114" t="s">
        <v>361</v>
      </c>
      <c r="H728" s="112" t="s">
        <v>362</v>
      </c>
      <c r="I728" s="115" t="s">
        <v>363</v>
      </c>
    </row>
    <row r="729" spans="2:10" ht="15.95" customHeight="1" x14ac:dyDescent="0.25">
      <c r="C729" s="116" t="s">
        <v>364</v>
      </c>
      <c r="D729" s="117" t="s">
        <v>365</v>
      </c>
      <c r="E729" s="118"/>
      <c r="F729" s="118"/>
      <c r="G729" s="165"/>
      <c r="H729" s="144"/>
      <c r="I729" s="126"/>
    </row>
    <row r="730" spans="2:10" ht="15.95" customHeight="1" x14ac:dyDescent="0.25">
      <c r="C730" s="122"/>
      <c r="D730" s="117" t="s">
        <v>366</v>
      </c>
      <c r="E730" s="123" t="s">
        <v>367</v>
      </c>
      <c r="F730" s="123" t="s">
        <v>368</v>
      </c>
      <c r="G730" s="124">
        <v>2.4</v>
      </c>
      <c r="H730" s="125">
        <f>VLOOKUP(D730,Upah,8,FALSE)</f>
        <v>125000</v>
      </c>
      <c r="I730" s="126">
        <f>G730*H730</f>
        <v>300000</v>
      </c>
    </row>
    <row r="731" spans="2:10" ht="15.95" customHeight="1" x14ac:dyDescent="0.25">
      <c r="C731" s="122"/>
      <c r="D731" s="117" t="s">
        <v>505</v>
      </c>
      <c r="E731" s="123" t="s">
        <v>414</v>
      </c>
      <c r="F731" s="123" t="s">
        <v>368</v>
      </c>
      <c r="G731" s="124">
        <v>0.8</v>
      </c>
      <c r="H731" s="125">
        <f>VLOOKUP(D731,Upah,8,FALSE)</f>
        <v>150000</v>
      </c>
      <c r="I731" s="126">
        <f>G731*H731</f>
        <v>120000</v>
      </c>
    </row>
    <row r="732" spans="2:10" ht="15.95" customHeight="1" x14ac:dyDescent="0.25">
      <c r="C732" s="122"/>
      <c r="D732" s="117" t="s">
        <v>371</v>
      </c>
      <c r="E732" s="123" t="s">
        <v>372</v>
      </c>
      <c r="F732" s="123" t="s">
        <v>368</v>
      </c>
      <c r="G732" s="124">
        <v>0.08</v>
      </c>
      <c r="H732" s="125">
        <f>VLOOKUP(D732,Upah,8,FALSE)</f>
        <v>165000</v>
      </c>
      <c r="I732" s="126">
        <f>G732*H732</f>
        <v>13200</v>
      </c>
    </row>
    <row r="733" spans="2:10" ht="15.95" customHeight="1" thickBot="1" x14ac:dyDescent="0.3">
      <c r="C733" s="122"/>
      <c r="D733" s="117" t="s">
        <v>373</v>
      </c>
      <c r="E733" s="129" t="s">
        <v>374</v>
      </c>
      <c r="F733" s="123" t="s">
        <v>368</v>
      </c>
      <c r="G733" s="124">
        <v>0.11899999999999999</v>
      </c>
      <c r="H733" s="125">
        <f>VLOOKUP(D733,Upah,8,FALSE)</f>
        <v>170000</v>
      </c>
      <c r="I733" s="126">
        <f>G733*H733</f>
        <v>20230</v>
      </c>
    </row>
    <row r="734" spans="2:10" ht="15.95" customHeight="1" thickBot="1" x14ac:dyDescent="0.3">
      <c r="C734" s="132"/>
      <c r="D734" s="133"/>
      <c r="E734" s="134"/>
      <c r="F734" s="134"/>
      <c r="G734" s="135" t="s">
        <v>375</v>
      </c>
      <c r="H734" s="136"/>
      <c r="I734" s="137">
        <f>SUM(I730:I733)</f>
        <v>453430</v>
      </c>
    </row>
    <row r="735" spans="2:10" ht="15.95" customHeight="1" x14ac:dyDescent="0.25">
      <c r="C735" s="116" t="s">
        <v>376</v>
      </c>
      <c r="D735" s="117" t="s">
        <v>377</v>
      </c>
      <c r="E735" s="118"/>
      <c r="F735" s="118"/>
      <c r="G735" s="165"/>
      <c r="H735" s="144"/>
      <c r="I735" s="126"/>
    </row>
    <row r="736" spans="2:10" ht="15.95" customHeight="1" x14ac:dyDescent="0.25">
      <c r="C736" s="122"/>
      <c r="D736" s="117" t="s">
        <v>444</v>
      </c>
      <c r="E736" s="118"/>
      <c r="F736" s="123" t="s">
        <v>158</v>
      </c>
      <c r="G736" s="124">
        <v>0.45</v>
      </c>
      <c r="H736" s="144">
        <f>VLOOKUP(D736,Bahan,6,FALSE)</f>
        <v>421500</v>
      </c>
      <c r="I736" s="126">
        <f>G736*H736</f>
        <v>189675</v>
      </c>
    </row>
    <row r="737" spans="1:10" ht="15.95" customHeight="1" x14ac:dyDescent="0.25">
      <c r="C737" s="122"/>
      <c r="D737" s="117" t="s">
        <v>380</v>
      </c>
      <c r="E737" s="118"/>
      <c r="F737" s="123" t="s">
        <v>159</v>
      </c>
      <c r="G737" s="124">
        <v>194</v>
      </c>
      <c r="H737" s="144">
        <f>VLOOKUP(D737,Bahan,6,FALSE)</f>
        <v>1880</v>
      </c>
      <c r="I737" s="126">
        <f>G737*H737</f>
        <v>364720</v>
      </c>
    </row>
    <row r="738" spans="1:10" ht="15.95" customHeight="1" x14ac:dyDescent="0.25">
      <c r="C738" s="122"/>
      <c r="D738" s="117" t="s">
        <v>1924</v>
      </c>
      <c r="E738" s="118"/>
      <c r="F738" s="123" t="s">
        <v>158</v>
      </c>
      <c r="G738" s="124">
        <v>0.312</v>
      </c>
      <c r="H738" s="144">
        <f>VLOOKUP(D738,Bahan,6,FALSE)</f>
        <v>350000</v>
      </c>
      <c r="I738" s="126">
        <f>G738*H738</f>
        <v>109200</v>
      </c>
    </row>
    <row r="739" spans="1:10" ht="15.95" customHeight="1" thickBot="1" x14ac:dyDescent="0.3">
      <c r="C739" s="122"/>
      <c r="D739" s="117" t="s">
        <v>1922</v>
      </c>
      <c r="E739" s="118"/>
      <c r="F739" s="123" t="s">
        <v>158</v>
      </c>
      <c r="G739" s="124">
        <v>0.46800000000000003</v>
      </c>
      <c r="H739" s="144">
        <f>VLOOKUP(D739,Bahan,6,FALSE)</f>
        <v>600000</v>
      </c>
      <c r="I739" s="126">
        <f>G739*H739</f>
        <v>280800</v>
      </c>
    </row>
    <row r="740" spans="1:10" ht="15.95" customHeight="1" thickBot="1" x14ac:dyDescent="0.3">
      <c r="C740" s="132"/>
      <c r="D740" s="133"/>
      <c r="E740" s="134"/>
      <c r="F740" s="134"/>
      <c r="G740" s="135" t="s">
        <v>386</v>
      </c>
      <c r="H740" s="136"/>
      <c r="I740" s="137">
        <f>SUM(I736:I739)</f>
        <v>944395</v>
      </c>
    </row>
    <row r="741" spans="1:10" ht="15.95" customHeight="1" thickBot="1" x14ac:dyDescent="0.3">
      <c r="C741" s="116" t="s">
        <v>387</v>
      </c>
      <c r="D741" s="117" t="s">
        <v>388</v>
      </c>
      <c r="E741" s="118"/>
      <c r="F741" s="118"/>
      <c r="G741" s="165"/>
      <c r="H741" s="144">
        <f>IF(AND(D741&lt;&gt;"",F741&lt;&gt;""),IF(C741="",IF(F741="OH",VLOOKUP(D741,[1]UPAH!$B$3:$G$32,7,0),VLOOKUP(D741,[1]BAHAN!$A$2:$D$3,4,0)),0),0)</f>
        <v>0</v>
      </c>
      <c r="I741" s="126">
        <f>G741*H741</f>
        <v>0</v>
      </c>
    </row>
    <row r="742" spans="1:10" ht="15.95" customHeight="1" thickBot="1" x14ac:dyDescent="0.3">
      <c r="C742" s="132"/>
      <c r="D742" s="133"/>
      <c r="E742" s="134"/>
      <c r="F742" s="134"/>
      <c r="G742" s="135" t="s">
        <v>389</v>
      </c>
      <c r="H742" s="136"/>
      <c r="I742" s="137">
        <f>I741</f>
        <v>0</v>
      </c>
    </row>
    <row r="743" spans="1:10" ht="15.95" customHeight="1" x14ac:dyDescent="0.25">
      <c r="C743" s="158" t="s">
        <v>390</v>
      </c>
      <c r="D743" s="159" t="s">
        <v>391</v>
      </c>
      <c r="E743" s="160"/>
      <c r="F743" s="160"/>
      <c r="G743" s="161"/>
      <c r="H743" s="162">
        <f>IF(AND(D743&lt;&gt;"",F743&lt;&gt;""),IF(C743="",IF(F743="OH",VLOOKUP(D743,[1]UPAH!$B$3:$G$32,7,0),VLOOKUP(D743,[1]BAHAN!$A$2:$D$3,4,0)),0),0)</f>
        <v>0</v>
      </c>
      <c r="I743" s="126">
        <f>SUM(I729:I742)/2</f>
        <v>1397825</v>
      </c>
    </row>
    <row r="744" spans="1:10" ht="15.95" customHeight="1" thickBot="1" x14ac:dyDescent="0.3">
      <c r="C744" s="147" t="s">
        <v>392</v>
      </c>
      <c r="D744" s="148" t="s">
        <v>393</v>
      </c>
      <c r="E744" s="149"/>
      <c r="F744" s="149"/>
      <c r="G744" s="164">
        <v>0.1</v>
      </c>
      <c r="H744" s="151"/>
      <c r="I744" s="146">
        <f>G744*I743</f>
        <v>139782.5</v>
      </c>
    </row>
    <row r="745" spans="1:10" ht="15.95" customHeight="1" thickBot="1" x14ac:dyDescent="0.3">
      <c r="C745" s="111" t="s">
        <v>394</v>
      </c>
      <c r="D745" s="112" t="s">
        <v>395</v>
      </c>
      <c r="E745" s="134"/>
      <c r="F745" s="134"/>
      <c r="G745" s="156"/>
      <c r="H745" s="136">
        <f>IF(AND(D745&lt;&gt;"",F745&lt;&gt;""),IF(C745="",IF(F745="OH",VLOOKUP(D745,[1]UPAH!$B$3:$G$32,7,0),VLOOKUP(D745,[1]BAHAN!$A$2:$D$3,4,0)),0),0)</f>
        <v>0</v>
      </c>
      <c r="I745" s="137">
        <f>ROUNDDOWN(I743+I744,0)</f>
        <v>1537607</v>
      </c>
    </row>
    <row r="746" spans="1:10" ht="15.95" customHeight="1" x14ac:dyDescent="0.25">
      <c r="C746" s="109"/>
      <c r="D746" s="109"/>
      <c r="G746" s="157"/>
    </row>
    <row r="747" spans="1:10" ht="15.95" customHeight="1" x14ac:dyDescent="0.25">
      <c r="A747" s="172" t="s">
        <v>528</v>
      </c>
      <c r="B747" s="168" t="s">
        <v>529</v>
      </c>
      <c r="G747" s="157"/>
    </row>
    <row r="748" spans="1:10" ht="15.95" customHeight="1" thickBot="1" x14ac:dyDescent="0.3">
      <c r="B748" s="109" t="s">
        <v>530</v>
      </c>
      <c r="C748" s="104" t="s">
        <v>531</v>
      </c>
      <c r="G748" s="157"/>
      <c r="J748" s="110">
        <f>I766</f>
        <v>1548761</v>
      </c>
    </row>
    <row r="749" spans="1:10" ht="15.95" customHeight="1" thickBot="1" x14ac:dyDescent="0.3">
      <c r="C749" s="111" t="s">
        <v>328</v>
      </c>
      <c r="D749" s="112" t="s">
        <v>359</v>
      </c>
      <c r="E749" s="113" t="s">
        <v>360</v>
      </c>
      <c r="F749" s="113" t="s">
        <v>330</v>
      </c>
      <c r="G749" s="114" t="s">
        <v>361</v>
      </c>
      <c r="H749" s="112" t="s">
        <v>362</v>
      </c>
      <c r="I749" s="115" t="s">
        <v>363</v>
      </c>
    </row>
    <row r="750" spans="1:10" ht="15.95" customHeight="1" x14ac:dyDescent="0.25">
      <c r="C750" s="116" t="s">
        <v>364</v>
      </c>
      <c r="D750" s="117" t="s">
        <v>365</v>
      </c>
      <c r="E750" s="118"/>
      <c r="F750" s="118"/>
      <c r="G750" s="165"/>
      <c r="H750" s="144"/>
      <c r="I750" s="126"/>
    </row>
    <row r="751" spans="1:10" ht="15.95" customHeight="1" x14ac:dyDescent="0.25">
      <c r="C751" s="122"/>
      <c r="D751" s="117" t="s">
        <v>366</v>
      </c>
      <c r="E751" s="123" t="s">
        <v>367</v>
      </c>
      <c r="F751" s="123" t="s">
        <v>368</v>
      </c>
      <c r="G751" s="124">
        <v>1.65</v>
      </c>
      <c r="H751" s="125">
        <f>VLOOKUP(D751,Upah,8,FALSE)</f>
        <v>125000</v>
      </c>
      <c r="I751" s="126">
        <f>G751*H751</f>
        <v>206250</v>
      </c>
    </row>
    <row r="752" spans="1:10" ht="15.95" customHeight="1" x14ac:dyDescent="0.25">
      <c r="C752" s="122"/>
      <c r="D752" s="117" t="s">
        <v>505</v>
      </c>
      <c r="E752" s="123" t="s">
        <v>414</v>
      </c>
      <c r="F752" s="123" t="s">
        <v>368</v>
      </c>
      <c r="G752" s="124">
        <v>0.27500000000000002</v>
      </c>
      <c r="H752" s="125">
        <f>VLOOKUP(D752,Upah,8,FALSE)</f>
        <v>150000</v>
      </c>
      <c r="I752" s="126">
        <f>G752*H752</f>
        <v>41250</v>
      </c>
    </row>
    <row r="753" spans="2:10" ht="15.95" customHeight="1" x14ac:dyDescent="0.25">
      <c r="C753" s="122"/>
      <c r="D753" s="117" t="s">
        <v>371</v>
      </c>
      <c r="E753" s="123" t="s">
        <v>372</v>
      </c>
      <c r="F753" s="123" t="s">
        <v>368</v>
      </c>
      <c r="G753" s="124">
        <v>2.8000000000000001E-2</v>
      </c>
      <c r="H753" s="125">
        <f>VLOOKUP(D753,Upah,8,FALSE)</f>
        <v>165000</v>
      </c>
      <c r="I753" s="126">
        <f>G753*H753</f>
        <v>4620</v>
      </c>
    </row>
    <row r="754" spans="2:10" ht="15.95" customHeight="1" thickBot="1" x14ac:dyDescent="0.3">
      <c r="C754" s="122"/>
      <c r="D754" s="117" t="s">
        <v>373</v>
      </c>
      <c r="E754" s="129" t="s">
        <v>374</v>
      </c>
      <c r="F754" s="123" t="s">
        <v>368</v>
      </c>
      <c r="G754" s="124">
        <v>8.3000000000000004E-2</v>
      </c>
      <c r="H754" s="125">
        <f>VLOOKUP(D754,Upah,8,FALSE)</f>
        <v>170000</v>
      </c>
      <c r="I754" s="126">
        <f>G754*H754</f>
        <v>14110</v>
      </c>
    </row>
    <row r="755" spans="2:10" ht="15.95" customHeight="1" thickBot="1" x14ac:dyDescent="0.3">
      <c r="C755" s="132"/>
      <c r="D755" s="133"/>
      <c r="E755" s="134"/>
      <c r="F755" s="134"/>
      <c r="G755" s="135" t="s">
        <v>375</v>
      </c>
      <c r="H755" s="136"/>
      <c r="I755" s="137">
        <f>SUM(I751:I754)</f>
        <v>266230</v>
      </c>
    </row>
    <row r="756" spans="2:10" ht="15.95" customHeight="1" x14ac:dyDescent="0.25">
      <c r="C756" s="116" t="s">
        <v>376</v>
      </c>
      <c r="D756" s="117" t="s">
        <v>377</v>
      </c>
      <c r="E756" s="118"/>
      <c r="F756" s="118"/>
      <c r="G756" s="165"/>
      <c r="H756" s="144"/>
      <c r="I756" s="126"/>
    </row>
    <row r="757" spans="2:10" ht="15.95" customHeight="1" x14ac:dyDescent="0.25">
      <c r="C757" s="122"/>
      <c r="D757" s="117" t="s">
        <v>380</v>
      </c>
      <c r="E757" s="118"/>
      <c r="F757" s="123" t="s">
        <v>133</v>
      </c>
      <c r="G757" s="124">
        <v>247</v>
      </c>
      <c r="H757" s="144">
        <f>VLOOKUP(D757,Bahan,6,FALSE)</f>
        <v>1880</v>
      </c>
      <c r="I757" s="126">
        <f>G757*H757</f>
        <v>464360</v>
      </c>
    </row>
    <row r="758" spans="2:10" ht="15.95" customHeight="1" x14ac:dyDescent="0.25">
      <c r="C758" s="122"/>
      <c r="D758" s="117" t="s">
        <v>1925</v>
      </c>
      <c r="E758" s="118"/>
      <c r="F758" s="123" t="s">
        <v>133</v>
      </c>
      <c r="G758" s="124">
        <v>869</v>
      </c>
      <c r="H758" s="144">
        <f>VLOOKUP(D758,Bahan,6,FALSE)</f>
        <v>250</v>
      </c>
      <c r="I758" s="126">
        <f>G758*H758</f>
        <v>217250</v>
      </c>
    </row>
    <row r="759" spans="2:10" ht="15.95" customHeight="1" x14ac:dyDescent="0.25">
      <c r="C759" s="122"/>
      <c r="D759" s="117" t="s">
        <v>1920</v>
      </c>
      <c r="E759" s="118"/>
      <c r="F759" s="123" t="s">
        <v>133</v>
      </c>
      <c r="G759" s="124">
        <v>999</v>
      </c>
      <c r="H759" s="144">
        <f>VLOOKUP(D759,Bahan,6,FALSE)</f>
        <v>444.44444444444446</v>
      </c>
      <c r="I759" s="126">
        <f>G759*H759</f>
        <v>444000</v>
      </c>
    </row>
    <row r="760" spans="2:10" ht="15.95" customHeight="1" thickBot="1" x14ac:dyDescent="0.3">
      <c r="C760" s="122"/>
      <c r="D760" s="117" t="s">
        <v>532</v>
      </c>
      <c r="E760" s="118"/>
      <c r="F760" s="123" t="s">
        <v>385</v>
      </c>
      <c r="G760" s="124">
        <v>215</v>
      </c>
      <c r="H760" s="144">
        <f>VLOOKUP(D760,Bahan,6,FALSE)</f>
        <v>75</v>
      </c>
      <c r="I760" s="126">
        <f>G760*H760</f>
        <v>16125</v>
      </c>
    </row>
    <row r="761" spans="2:10" ht="15.95" customHeight="1" thickBot="1" x14ac:dyDescent="0.3">
      <c r="C761" s="132"/>
      <c r="D761" s="133"/>
      <c r="E761" s="134"/>
      <c r="F761" s="134"/>
      <c r="G761" s="135" t="s">
        <v>386</v>
      </c>
      <c r="H761" s="136"/>
      <c r="I761" s="137">
        <f>SUM(I757:I760)</f>
        <v>1141735</v>
      </c>
    </row>
    <row r="762" spans="2:10" ht="15.95" customHeight="1" thickBot="1" x14ac:dyDescent="0.3">
      <c r="C762" s="116" t="s">
        <v>387</v>
      </c>
      <c r="D762" s="117" t="s">
        <v>388</v>
      </c>
      <c r="E762" s="118"/>
      <c r="F762" s="118"/>
      <c r="G762" s="165"/>
      <c r="H762" s="144">
        <f>IF(AND(D762&lt;&gt;"",F762&lt;&gt;""),IF(C762="",IF(F762="OH",VLOOKUP(D762,[1]UPAH!$B$3:$G$32,7,0),VLOOKUP(D762,[1]BAHAN!$A$2:$D$3,4,0)),0),0)</f>
        <v>0</v>
      </c>
      <c r="I762" s="126">
        <f>G762*H762</f>
        <v>0</v>
      </c>
    </row>
    <row r="763" spans="2:10" ht="15.95" customHeight="1" thickBot="1" x14ac:dyDescent="0.3">
      <c r="C763" s="132"/>
      <c r="D763" s="133"/>
      <c r="E763" s="134"/>
      <c r="F763" s="134"/>
      <c r="G763" s="135" t="s">
        <v>389</v>
      </c>
      <c r="H763" s="136"/>
      <c r="I763" s="137">
        <f>I762</f>
        <v>0</v>
      </c>
    </row>
    <row r="764" spans="2:10" ht="15.95" customHeight="1" x14ac:dyDescent="0.25">
      <c r="C764" s="158" t="s">
        <v>390</v>
      </c>
      <c r="D764" s="159" t="s">
        <v>391</v>
      </c>
      <c r="E764" s="160"/>
      <c r="F764" s="160"/>
      <c r="G764" s="161"/>
      <c r="H764" s="162">
        <f>IF(AND(D764&lt;&gt;"",F764&lt;&gt;""),IF(C764="",IF(F764="OH",VLOOKUP(D764,[1]UPAH!$B$3:$G$32,7,0),VLOOKUP(D764,[1]BAHAN!$A$2:$D$3,4,0)),0),0)</f>
        <v>0</v>
      </c>
      <c r="I764" s="126">
        <f>SUM(I749:I763)/2</f>
        <v>1407965</v>
      </c>
    </row>
    <row r="765" spans="2:10" ht="15.95" customHeight="1" thickBot="1" x14ac:dyDescent="0.3">
      <c r="C765" s="147" t="s">
        <v>392</v>
      </c>
      <c r="D765" s="148" t="s">
        <v>393</v>
      </c>
      <c r="E765" s="149"/>
      <c r="F765" s="149"/>
      <c r="G765" s="164">
        <v>0.1</v>
      </c>
      <c r="H765" s="151"/>
      <c r="I765" s="146">
        <f>G765*I764</f>
        <v>140796.5</v>
      </c>
    </row>
    <row r="766" spans="2:10" ht="15.95" customHeight="1" thickBot="1" x14ac:dyDescent="0.3">
      <c r="C766" s="111" t="s">
        <v>394</v>
      </c>
      <c r="D766" s="112" t="s">
        <v>395</v>
      </c>
      <c r="E766" s="134"/>
      <c r="F766" s="134"/>
      <c r="G766" s="156"/>
      <c r="H766" s="136">
        <f>IF(AND(D766&lt;&gt;"",F766&lt;&gt;""),IF(C766="",IF(F766="OH",VLOOKUP(D766,[1]UPAH!$B$3:$G$32,7,0),VLOOKUP(D766,[1]BAHAN!$A$2:$D$3,4,0)),0),0)</f>
        <v>0</v>
      </c>
      <c r="I766" s="137">
        <f>ROUNDDOWN(I764+I765,0)</f>
        <v>1548761</v>
      </c>
    </row>
    <row r="767" spans="2:10" ht="15.95" customHeight="1" x14ac:dyDescent="0.25">
      <c r="C767" s="109"/>
      <c r="D767" s="109"/>
      <c r="G767" s="157"/>
    </row>
    <row r="768" spans="2:10" ht="15.95" customHeight="1" thickBot="1" x14ac:dyDescent="0.3">
      <c r="B768" s="109" t="s">
        <v>533</v>
      </c>
      <c r="C768" s="104" t="s">
        <v>534</v>
      </c>
      <c r="G768" s="157"/>
      <c r="J768" s="110">
        <f>I786</f>
        <v>1603814</v>
      </c>
    </row>
    <row r="769" spans="3:9" ht="15.95" customHeight="1" thickBot="1" x14ac:dyDescent="0.3">
      <c r="C769" s="111" t="s">
        <v>328</v>
      </c>
      <c r="D769" s="112" t="s">
        <v>359</v>
      </c>
      <c r="E769" s="113" t="s">
        <v>360</v>
      </c>
      <c r="F769" s="113" t="s">
        <v>330</v>
      </c>
      <c r="G769" s="114" t="s">
        <v>361</v>
      </c>
      <c r="H769" s="112" t="s">
        <v>362</v>
      </c>
      <c r="I769" s="115" t="s">
        <v>363</v>
      </c>
    </row>
    <row r="770" spans="3:9" ht="15.95" customHeight="1" x14ac:dyDescent="0.25">
      <c r="C770" s="116" t="s">
        <v>364</v>
      </c>
      <c r="D770" s="117" t="s">
        <v>365</v>
      </c>
      <c r="E770" s="118"/>
      <c r="F770" s="118"/>
      <c r="G770" s="165"/>
      <c r="H770" s="144"/>
      <c r="I770" s="126"/>
    </row>
    <row r="771" spans="3:9" ht="15.95" customHeight="1" x14ac:dyDescent="0.25">
      <c r="C771" s="122"/>
      <c r="D771" s="117" t="s">
        <v>366</v>
      </c>
      <c r="E771" s="123" t="s">
        <v>367</v>
      </c>
      <c r="F771" s="123" t="s">
        <v>368</v>
      </c>
      <c r="G771" s="124">
        <v>1.65</v>
      </c>
      <c r="H771" s="125">
        <f>VLOOKUP(D771,Upah,8,FALSE)</f>
        <v>125000</v>
      </c>
      <c r="I771" s="126">
        <f>G771*H771</f>
        <v>206250</v>
      </c>
    </row>
    <row r="772" spans="3:9" ht="15.95" customHeight="1" x14ac:dyDescent="0.25">
      <c r="C772" s="122"/>
      <c r="D772" s="117" t="s">
        <v>505</v>
      </c>
      <c r="E772" s="123" t="s">
        <v>414</v>
      </c>
      <c r="F772" s="123" t="s">
        <v>368</v>
      </c>
      <c r="G772" s="124">
        <v>0.27500000000000002</v>
      </c>
      <c r="H772" s="125">
        <f>VLOOKUP(D772,Upah,8,FALSE)</f>
        <v>150000</v>
      </c>
      <c r="I772" s="126">
        <f>G772*H772</f>
        <v>41250</v>
      </c>
    </row>
    <row r="773" spans="3:9" ht="15.95" customHeight="1" x14ac:dyDescent="0.25">
      <c r="C773" s="122"/>
      <c r="D773" s="117" t="s">
        <v>371</v>
      </c>
      <c r="E773" s="123" t="s">
        <v>372</v>
      </c>
      <c r="F773" s="123" t="s">
        <v>368</v>
      </c>
      <c r="G773" s="124">
        <v>2.8000000000000001E-2</v>
      </c>
      <c r="H773" s="125">
        <f>VLOOKUP(D773,Upah,8,FALSE)</f>
        <v>165000</v>
      </c>
      <c r="I773" s="126">
        <f>G773*H773</f>
        <v>4620</v>
      </c>
    </row>
    <row r="774" spans="3:9" ht="15.95" customHeight="1" thickBot="1" x14ac:dyDescent="0.3">
      <c r="C774" s="122"/>
      <c r="D774" s="117" t="s">
        <v>373</v>
      </c>
      <c r="E774" s="129" t="s">
        <v>374</v>
      </c>
      <c r="F774" s="123" t="s">
        <v>368</v>
      </c>
      <c r="G774" s="124">
        <v>8.3000000000000004E-2</v>
      </c>
      <c r="H774" s="125">
        <f>VLOOKUP(D774,Upah,8,FALSE)</f>
        <v>170000</v>
      </c>
      <c r="I774" s="126">
        <f>G774*H774</f>
        <v>14110</v>
      </c>
    </row>
    <row r="775" spans="3:9" ht="15.95" customHeight="1" thickBot="1" x14ac:dyDescent="0.3">
      <c r="C775" s="132"/>
      <c r="D775" s="133"/>
      <c r="E775" s="134"/>
      <c r="F775" s="134"/>
      <c r="G775" s="135" t="s">
        <v>375</v>
      </c>
      <c r="H775" s="136"/>
      <c r="I775" s="137">
        <f>SUM(I771:I774)</f>
        <v>266230</v>
      </c>
    </row>
    <row r="776" spans="3:9" ht="15.95" customHeight="1" x14ac:dyDescent="0.25">
      <c r="C776" s="116" t="s">
        <v>376</v>
      </c>
      <c r="D776" s="117" t="s">
        <v>377</v>
      </c>
      <c r="E776" s="118"/>
      <c r="F776" s="118"/>
      <c r="G776" s="165"/>
      <c r="H776" s="144"/>
      <c r="I776" s="126"/>
    </row>
    <row r="777" spans="3:9" ht="15.95" customHeight="1" x14ac:dyDescent="0.25">
      <c r="C777" s="122"/>
      <c r="D777" s="117" t="s">
        <v>380</v>
      </c>
      <c r="E777" s="118"/>
      <c r="F777" s="123" t="s">
        <v>133</v>
      </c>
      <c r="G777" s="124">
        <v>276</v>
      </c>
      <c r="H777" s="144">
        <f>VLOOKUP(D777,Bahan,6,FALSE)</f>
        <v>1880</v>
      </c>
      <c r="I777" s="126">
        <f>G777*H777</f>
        <v>518880</v>
      </c>
    </row>
    <row r="778" spans="3:9" ht="15.95" customHeight="1" x14ac:dyDescent="0.25">
      <c r="C778" s="122"/>
      <c r="D778" s="117" t="s">
        <v>1925</v>
      </c>
      <c r="E778" s="118"/>
      <c r="F778" s="123" t="s">
        <v>133</v>
      </c>
      <c r="G778" s="124">
        <v>828</v>
      </c>
      <c r="H778" s="144">
        <f>VLOOKUP(D778,Bahan,6,FALSE)</f>
        <v>250</v>
      </c>
      <c r="I778" s="126">
        <f>G778*H778</f>
        <v>207000</v>
      </c>
    </row>
    <row r="779" spans="3:9" ht="15.95" customHeight="1" x14ac:dyDescent="0.25">
      <c r="C779" s="122"/>
      <c r="D779" s="117" t="s">
        <v>1920</v>
      </c>
      <c r="E779" s="118"/>
      <c r="F779" s="123" t="s">
        <v>133</v>
      </c>
      <c r="G779" s="124">
        <v>1012</v>
      </c>
      <c r="H779" s="144">
        <f>VLOOKUP(D779,Bahan,6,FALSE)</f>
        <v>444.44444444444446</v>
      </c>
      <c r="I779" s="126">
        <f>G779*H779</f>
        <v>449777.77777777781</v>
      </c>
    </row>
    <row r="780" spans="3:9" ht="15.95" customHeight="1" thickBot="1" x14ac:dyDescent="0.3">
      <c r="C780" s="122"/>
      <c r="D780" s="117" t="s">
        <v>532</v>
      </c>
      <c r="E780" s="118"/>
      <c r="F780" s="123" t="s">
        <v>385</v>
      </c>
      <c r="G780" s="124">
        <v>215</v>
      </c>
      <c r="H780" s="144">
        <f>VLOOKUP(D780,Bahan,6,FALSE)</f>
        <v>75</v>
      </c>
      <c r="I780" s="126">
        <f>G780*H780</f>
        <v>16125</v>
      </c>
    </row>
    <row r="781" spans="3:9" ht="15.95" customHeight="1" thickBot="1" x14ac:dyDescent="0.3">
      <c r="C781" s="132"/>
      <c r="D781" s="133"/>
      <c r="E781" s="134"/>
      <c r="F781" s="134"/>
      <c r="G781" s="135" t="s">
        <v>386</v>
      </c>
      <c r="H781" s="136"/>
      <c r="I781" s="137">
        <f>SUM(I777:I780)</f>
        <v>1191782.7777777778</v>
      </c>
    </row>
    <row r="782" spans="3:9" ht="15.95" customHeight="1" thickBot="1" x14ac:dyDescent="0.3">
      <c r="C782" s="116" t="s">
        <v>387</v>
      </c>
      <c r="D782" s="117" t="s">
        <v>388</v>
      </c>
      <c r="E782" s="118"/>
      <c r="F782" s="118"/>
      <c r="G782" s="165"/>
      <c r="H782" s="144">
        <f>IF(AND(D782&lt;&gt;"",F782&lt;&gt;""),IF(C782="",IF(F782="OH",VLOOKUP(D782,[1]UPAH!$B$3:$G$32,7,0),VLOOKUP(D782,[1]BAHAN!$A$2:$D$3,4,0)),0),0)</f>
        <v>0</v>
      </c>
      <c r="I782" s="126">
        <f>G782*H782</f>
        <v>0</v>
      </c>
    </row>
    <row r="783" spans="3:9" ht="15.95" customHeight="1" thickBot="1" x14ac:dyDescent="0.3">
      <c r="C783" s="132"/>
      <c r="D783" s="133"/>
      <c r="E783" s="134"/>
      <c r="F783" s="134"/>
      <c r="G783" s="135" t="s">
        <v>389</v>
      </c>
      <c r="H783" s="136"/>
      <c r="I783" s="137">
        <f>I782</f>
        <v>0</v>
      </c>
    </row>
    <row r="784" spans="3:9" ht="15.95" customHeight="1" x14ac:dyDescent="0.25">
      <c r="C784" s="158" t="s">
        <v>390</v>
      </c>
      <c r="D784" s="159" t="s">
        <v>391</v>
      </c>
      <c r="E784" s="160"/>
      <c r="F784" s="160"/>
      <c r="G784" s="161"/>
      <c r="H784" s="162">
        <f>IF(AND(D784&lt;&gt;"",F784&lt;&gt;""),IF(C784="",IF(F784="OH",VLOOKUP(D784,[1]UPAH!$B$3:$G$32,7,0),VLOOKUP(D784,[1]BAHAN!$A$2:$D$3,4,0)),0),0)</f>
        <v>0</v>
      </c>
      <c r="I784" s="126">
        <f>SUM(I770:I783)/2</f>
        <v>1458012.7777777778</v>
      </c>
    </row>
    <row r="785" spans="2:10" ht="15.95" customHeight="1" thickBot="1" x14ac:dyDescent="0.3">
      <c r="C785" s="147" t="s">
        <v>392</v>
      </c>
      <c r="D785" s="148" t="s">
        <v>393</v>
      </c>
      <c r="E785" s="149"/>
      <c r="F785" s="149"/>
      <c r="G785" s="164">
        <v>0.1</v>
      </c>
      <c r="H785" s="151"/>
      <c r="I785" s="146">
        <f>G785*I784</f>
        <v>145801.27777777778</v>
      </c>
    </row>
    <row r="786" spans="2:10" ht="15.95" customHeight="1" thickBot="1" x14ac:dyDescent="0.3">
      <c r="C786" s="111" t="s">
        <v>394</v>
      </c>
      <c r="D786" s="112" t="s">
        <v>395</v>
      </c>
      <c r="E786" s="134"/>
      <c r="F786" s="134"/>
      <c r="G786" s="156"/>
      <c r="H786" s="136">
        <f>IF(AND(D786&lt;&gt;"",F786&lt;&gt;""),IF(C786="",IF(F786="OH",VLOOKUP(D786,[1]UPAH!$B$3:$G$32,7,0),VLOOKUP(D786,[1]BAHAN!$A$2:$D$3,4,0)),0),0)</f>
        <v>0</v>
      </c>
      <c r="I786" s="137">
        <f>ROUNDDOWN(I784+I785,0)</f>
        <v>1603814</v>
      </c>
    </row>
    <row r="787" spans="2:10" ht="15.95" customHeight="1" x14ac:dyDescent="0.25">
      <c r="C787" s="109"/>
      <c r="D787" s="109"/>
      <c r="G787" s="157"/>
    </row>
    <row r="788" spans="2:10" ht="15.95" customHeight="1" thickBot="1" x14ac:dyDescent="0.3">
      <c r="B788" s="109" t="s">
        <v>535</v>
      </c>
      <c r="C788" s="104" t="s">
        <v>536</v>
      </c>
      <c r="G788" s="157"/>
      <c r="J788" s="110">
        <f>I806</f>
        <v>1645847</v>
      </c>
    </row>
    <row r="789" spans="2:10" ht="15.95" customHeight="1" thickBot="1" x14ac:dyDescent="0.3">
      <c r="C789" s="111" t="s">
        <v>328</v>
      </c>
      <c r="D789" s="112" t="s">
        <v>359</v>
      </c>
      <c r="E789" s="113" t="s">
        <v>360</v>
      </c>
      <c r="F789" s="113" t="s">
        <v>330</v>
      </c>
      <c r="G789" s="114" t="s">
        <v>361</v>
      </c>
      <c r="H789" s="112" t="s">
        <v>362</v>
      </c>
      <c r="I789" s="115" t="s">
        <v>363</v>
      </c>
    </row>
    <row r="790" spans="2:10" ht="15.95" customHeight="1" x14ac:dyDescent="0.25">
      <c r="C790" s="116" t="s">
        <v>364</v>
      </c>
      <c r="D790" s="117" t="s">
        <v>365</v>
      </c>
      <c r="E790" s="118"/>
      <c r="F790" s="118"/>
      <c r="G790" s="165"/>
      <c r="H790" s="144"/>
      <c r="I790" s="126"/>
    </row>
    <row r="791" spans="2:10" ht="15.95" customHeight="1" x14ac:dyDescent="0.25">
      <c r="C791" s="122"/>
      <c r="D791" s="117" t="s">
        <v>366</v>
      </c>
      <c r="E791" s="123" t="s">
        <v>367</v>
      </c>
      <c r="F791" s="123" t="s">
        <v>368</v>
      </c>
      <c r="G791" s="124">
        <v>1.65</v>
      </c>
      <c r="H791" s="125">
        <f>VLOOKUP(D791,Upah,8,FALSE)</f>
        <v>125000</v>
      </c>
      <c r="I791" s="126">
        <f>G791*H791</f>
        <v>206250</v>
      </c>
    </row>
    <row r="792" spans="2:10" ht="15.95" customHeight="1" x14ac:dyDescent="0.25">
      <c r="C792" s="122"/>
      <c r="D792" s="117" t="s">
        <v>505</v>
      </c>
      <c r="E792" s="123" t="s">
        <v>414</v>
      </c>
      <c r="F792" s="123" t="s">
        <v>368</v>
      </c>
      <c r="G792" s="124">
        <v>0.27500000000000002</v>
      </c>
      <c r="H792" s="125">
        <f>VLOOKUP(D792,Upah,8,FALSE)</f>
        <v>150000</v>
      </c>
      <c r="I792" s="126">
        <f>G792*H792</f>
        <v>41250</v>
      </c>
    </row>
    <row r="793" spans="2:10" ht="15.95" customHeight="1" x14ac:dyDescent="0.25">
      <c r="C793" s="122"/>
      <c r="D793" s="117" t="s">
        <v>371</v>
      </c>
      <c r="E793" s="123" t="s">
        <v>372</v>
      </c>
      <c r="F793" s="123" t="s">
        <v>368</v>
      </c>
      <c r="G793" s="124">
        <v>2.8000000000000001E-2</v>
      </c>
      <c r="H793" s="125">
        <f>VLOOKUP(D793,Upah,8,FALSE)</f>
        <v>165000</v>
      </c>
      <c r="I793" s="126">
        <f>G793*H793</f>
        <v>4620</v>
      </c>
    </row>
    <row r="794" spans="2:10" ht="15.95" customHeight="1" thickBot="1" x14ac:dyDescent="0.3">
      <c r="C794" s="122"/>
      <c r="D794" s="117" t="s">
        <v>373</v>
      </c>
      <c r="E794" s="129" t="s">
        <v>374</v>
      </c>
      <c r="F794" s="123" t="s">
        <v>368</v>
      </c>
      <c r="G794" s="124">
        <v>8.3000000000000004E-2</v>
      </c>
      <c r="H794" s="125">
        <f>VLOOKUP(D794,Upah,8,FALSE)</f>
        <v>170000</v>
      </c>
      <c r="I794" s="126">
        <f>G794*H794</f>
        <v>14110</v>
      </c>
    </row>
    <row r="795" spans="2:10" ht="15.95" customHeight="1" thickBot="1" x14ac:dyDescent="0.3">
      <c r="C795" s="132"/>
      <c r="D795" s="133"/>
      <c r="E795" s="134"/>
      <c r="F795" s="134"/>
      <c r="G795" s="135" t="s">
        <v>375</v>
      </c>
      <c r="H795" s="136"/>
      <c r="I795" s="137">
        <f>SUM(I791:I794)</f>
        <v>266230</v>
      </c>
    </row>
    <row r="796" spans="2:10" ht="15.95" customHeight="1" x14ac:dyDescent="0.25">
      <c r="C796" s="116" t="s">
        <v>376</v>
      </c>
      <c r="D796" s="117" t="s">
        <v>377</v>
      </c>
      <c r="E796" s="118"/>
      <c r="F796" s="118"/>
      <c r="G796" s="165"/>
      <c r="H796" s="144"/>
      <c r="I796" s="126"/>
    </row>
    <row r="797" spans="2:10" ht="15.95" customHeight="1" x14ac:dyDescent="0.25">
      <c r="C797" s="122"/>
      <c r="D797" s="117" t="s">
        <v>380</v>
      </c>
      <c r="E797" s="118"/>
      <c r="F797" s="123" t="s">
        <v>133</v>
      </c>
      <c r="G797" s="124">
        <v>299</v>
      </c>
      <c r="H797" s="144">
        <f>VLOOKUP(D797,Bahan,6,FALSE)</f>
        <v>1880</v>
      </c>
      <c r="I797" s="126">
        <f>G797*H797</f>
        <v>562120</v>
      </c>
    </row>
    <row r="798" spans="2:10" ht="15.95" customHeight="1" x14ac:dyDescent="0.25">
      <c r="C798" s="122"/>
      <c r="D798" s="117" t="s">
        <v>1925</v>
      </c>
      <c r="E798" s="118"/>
      <c r="F798" s="123" t="s">
        <v>133</v>
      </c>
      <c r="G798" s="124">
        <v>799</v>
      </c>
      <c r="H798" s="144">
        <f>VLOOKUP(D798,Bahan,6,FALSE)</f>
        <v>250</v>
      </c>
      <c r="I798" s="126">
        <f>G798*H798</f>
        <v>199750</v>
      </c>
    </row>
    <row r="799" spans="2:10" ht="15.95" customHeight="1" x14ac:dyDescent="0.25">
      <c r="C799" s="122"/>
      <c r="D799" s="117" t="s">
        <v>1920</v>
      </c>
      <c r="E799" s="118"/>
      <c r="F799" s="123" t="s">
        <v>133</v>
      </c>
      <c r="G799" s="124">
        <v>1017</v>
      </c>
      <c r="H799" s="144">
        <f>VLOOKUP(D799,Bahan,6,FALSE)</f>
        <v>444.44444444444446</v>
      </c>
      <c r="I799" s="126">
        <f>G799*H799</f>
        <v>452000</v>
      </c>
    </row>
    <row r="800" spans="2:10" ht="15.95" customHeight="1" thickBot="1" x14ac:dyDescent="0.3">
      <c r="C800" s="122"/>
      <c r="D800" s="117" t="s">
        <v>532</v>
      </c>
      <c r="E800" s="118"/>
      <c r="F800" s="123" t="s">
        <v>385</v>
      </c>
      <c r="G800" s="124">
        <v>215</v>
      </c>
      <c r="H800" s="144">
        <f>VLOOKUP(D800,Bahan,6,FALSE)</f>
        <v>75</v>
      </c>
      <c r="I800" s="126">
        <f>G800*H800</f>
        <v>16125</v>
      </c>
    </row>
    <row r="801" spans="2:10" ht="15.95" customHeight="1" thickBot="1" x14ac:dyDescent="0.3">
      <c r="C801" s="132"/>
      <c r="D801" s="133"/>
      <c r="E801" s="134"/>
      <c r="F801" s="134"/>
      <c r="G801" s="135" t="s">
        <v>386</v>
      </c>
      <c r="H801" s="136"/>
      <c r="I801" s="137">
        <f>SUM(I797:I800)</f>
        <v>1229995</v>
      </c>
    </row>
    <row r="802" spans="2:10" ht="15.95" customHeight="1" thickBot="1" x14ac:dyDescent="0.3">
      <c r="C802" s="116" t="s">
        <v>387</v>
      </c>
      <c r="D802" s="117" t="s">
        <v>388</v>
      </c>
      <c r="E802" s="118"/>
      <c r="F802" s="118"/>
      <c r="G802" s="165"/>
      <c r="H802" s="144">
        <f>IF(AND(D802&lt;&gt;"",F802&lt;&gt;""),IF(C802="",IF(F802="OH",VLOOKUP(D802,[1]UPAH!$B$3:$G$32,7,0),VLOOKUP(D802,[1]BAHAN!$A$2:$D$3,4,0)),0),0)</f>
        <v>0</v>
      </c>
      <c r="I802" s="126">
        <f>G802*H802</f>
        <v>0</v>
      </c>
    </row>
    <row r="803" spans="2:10" ht="15.95" customHeight="1" thickBot="1" x14ac:dyDescent="0.3">
      <c r="C803" s="132"/>
      <c r="D803" s="133"/>
      <c r="E803" s="134"/>
      <c r="F803" s="134"/>
      <c r="G803" s="135" t="s">
        <v>389</v>
      </c>
      <c r="H803" s="136"/>
      <c r="I803" s="137">
        <f>I802</f>
        <v>0</v>
      </c>
    </row>
    <row r="804" spans="2:10" ht="15.95" customHeight="1" x14ac:dyDescent="0.25">
      <c r="C804" s="158" t="s">
        <v>390</v>
      </c>
      <c r="D804" s="159" t="s">
        <v>391</v>
      </c>
      <c r="E804" s="160"/>
      <c r="F804" s="160"/>
      <c r="G804" s="161"/>
      <c r="H804" s="162">
        <f>IF(AND(D804&lt;&gt;"",F804&lt;&gt;""),IF(C804="",IF(F804="OH",VLOOKUP(D804,[1]UPAH!$B$3:$G$32,7,0),VLOOKUP(D804,[1]BAHAN!$A$2:$D$3,4,0)),0),0)</f>
        <v>0</v>
      </c>
      <c r="I804" s="126">
        <f>SUM(I789:I803)/2</f>
        <v>1496225</v>
      </c>
    </row>
    <row r="805" spans="2:10" ht="15.95" customHeight="1" thickBot="1" x14ac:dyDescent="0.3">
      <c r="C805" s="147" t="s">
        <v>392</v>
      </c>
      <c r="D805" s="148" t="s">
        <v>393</v>
      </c>
      <c r="E805" s="149"/>
      <c r="F805" s="149"/>
      <c r="G805" s="164">
        <v>0.1</v>
      </c>
      <c r="H805" s="151"/>
      <c r="I805" s="146">
        <f>G805*I804</f>
        <v>149622.5</v>
      </c>
    </row>
    <row r="806" spans="2:10" ht="15.95" customHeight="1" thickBot="1" x14ac:dyDescent="0.3">
      <c r="C806" s="111" t="s">
        <v>394</v>
      </c>
      <c r="D806" s="112" t="s">
        <v>395</v>
      </c>
      <c r="E806" s="134"/>
      <c r="F806" s="134"/>
      <c r="G806" s="156"/>
      <c r="H806" s="136">
        <f>IF(AND(D806&lt;&gt;"",F806&lt;&gt;""),IF(C806="",IF(F806="OH",VLOOKUP(D806,[1]UPAH!$B$3:$G$32,7,0),VLOOKUP(D806,[1]BAHAN!$A$2:$D$3,4,0)),0),0)</f>
        <v>0</v>
      </c>
      <c r="I806" s="137">
        <f>ROUNDDOWN(I804+I805,0)</f>
        <v>1645847</v>
      </c>
    </row>
    <row r="807" spans="2:10" ht="15.95" customHeight="1" x14ac:dyDescent="0.25">
      <c r="D807" s="109" t="s">
        <v>537</v>
      </c>
      <c r="G807" s="157"/>
    </row>
    <row r="808" spans="2:10" ht="15.95" customHeight="1" x14ac:dyDescent="0.25">
      <c r="D808" s="109" t="s">
        <v>538</v>
      </c>
      <c r="G808" s="157"/>
    </row>
    <row r="809" spans="2:10" ht="15.95" customHeight="1" x14ac:dyDescent="0.25">
      <c r="D809" s="109"/>
      <c r="G809" s="157"/>
    </row>
    <row r="810" spans="2:10" ht="15.95" customHeight="1" thickBot="1" x14ac:dyDescent="0.3">
      <c r="B810" s="109" t="s">
        <v>539</v>
      </c>
      <c r="C810" s="104" t="s">
        <v>540</v>
      </c>
      <c r="G810" s="157"/>
      <c r="J810" s="110">
        <f>I828</f>
        <v>1452653</v>
      </c>
    </row>
    <row r="811" spans="2:10" ht="15.95" customHeight="1" thickBot="1" x14ac:dyDescent="0.3">
      <c r="C811" s="111" t="s">
        <v>328</v>
      </c>
      <c r="D811" s="112" t="s">
        <v>359</v>
      </c>
      <c r="E811" s="113" t="s">
        <v>360</v>
      </c>
      <c r="F811" s="113" t="s">
        <v>330</v>
      </c>
      <c r="G811" s="114" t="s">
        <v>361</v>
      </c>
      <c r="H811" s="112" t="s">
        <v>362</v>
      </c>
      <c r="I811" s="115" t="s">
        <v>363</v>
      </c>
    </row>
    <row r="812" spans="2:10" ht="15.95" customHeight="1" x14ac:dyDescent="0.25">
      <c r="C812" s="116" t="s">
        <v>364</v>
      </c>
      <c r="D812" s="117" t="s">
        <v>365</v>
      </c>
      <c r="E812" s="118"/>
      <c r="F812" s="118"/>
      <c r="G812" s="165"/>
      <c r="H812" s="144"/>
      <c r="I812" s="126"/>
    </row>
    <row r="813" spans="2:10" ht="15.95" customHeight="1" x14ac:dyDescent="0.25">
      <c r="C813" s="122"/>
      <c r="D813" s="117" t="s">
        <v>366</v>
      </c>
      <c r="E813" s="123" t="s">
        <v>367</v>
      </c>
      <c r="F813" s="123" t="s">
        <v>368</v>
      </c>
      <c r="G813" s="124">
        <v>1.2</v>
      </c>
      <c r="H813" s="125">
        <f>VLOOKUP(D813,Upah,8,FALSE)</f>
        <v>125000</v>
      </c>
      <c r="I813" s="126">
        <f>G813*H813</f>
        <v>150000</v>
      </c>
    </row>
    <row r="814" spans="2:10" ht="15.95" customHeight="1" x14ac:dyDescent="0.25">
      <c r="C814" s="122"/>
      <c r="D814" s="117" t="s">
        <v>505</v>
      </c>
      <c r="E814" s="123" t="s">
        <v>414</v>
      </c>
      <c r="F814" s="123" t="s">
        <v>368</v>
      </c>
      <c r="G814" s="124">
        <v>0.2</v>
      </c>
      <c r="H814" s="125">
        <f>VLOOKUP(D814,Upah,8,FALSE)</f>
        <v>150000</v>
      </c>
      <c r="I814" s="126">
        <f>G814*H814</f>
        <v>30000</v>
      </c>
    </row>
    <row r="815" spans="2:10" ht="15.95" customHeight="1" x14ac:dyDescent="0.25">
      <c r="C815" s="122"/>
      <c r="D815" s="117" t="s">
        <v>371</v>
      </c>
      <c r="E815" s="123" t="s">
        <v>372</v>
      </c>
      <c r="F815" s="123" t="s">
        <v>368</v>
      </c>
      <c r="G815" s="124">
        <v>0.02</v>
      </c>
      <c r="H815" s="125">
        <f>VLOOKUP(D815,Upah,8,FALSE)</f>
        <v>165000</v>
      </c>
      <c r="I815" s="126">
        <f>G815*H815</f>
        <v>3300</v>
      </c>
    </row>
    <row r="816" spans="2:10" ht="15.95" customHeight="1" thickBot="1" x14ac:dyDescent="0.3">
      <c r="C816" s="122"/>
      <c r="D816" s="117" t="s">
        <v>373</v>
      </c>
      <c r="E816" s="129" t="s">
        <v>374</v>
      </c>
      <c r="F816" s="123" t="s">
        <v>368</v>
      </c>
      <c r="G816" s="124">
        <v>0.06</v>
      </c>
      <c r="H816" s="125">
        <f>VLOOKUP(D816,Upah,8,FALSE)</f>
        <v>170000</v>
      </c>
      <c r="I816" s="126">
        <f>G816*H816</f>
        <v>10200</v>
      </c>
    </row>
    <row r="817" spans="2:10" ht="15.95" customHeight="1" thickBot="1" x14ac:dyDescent="0.3">
      <c r="C817" s="132"/>
      <c r="D817" s="133"/>
      <c r="E817" s="134"/>
      <c r="F817" s="134"/>
      <c r="G817" s="135" t="s">
        <v>375</v>
      </c>
      <c r="H817" s="136"/>
      <c r="I817" s="137">
        <f>SUM(I813:I816)</f>
        <v>193500</v>
      </c>
    </row>
    <row r="818" spans="2:10" ht="15.95" customHeight="1" x14ac:dyDescent="0.25">
      <c r="C818" s="116" t="s">
        <v>376</v>
      </c>
      <c r="D818" s="117" t="s">
        <v>377</v>
      </c>
      <c r="E818" s="118"/>
      <c r="F818" s="118"/>
      <c r="G818" s="165"/>
      <c r="H818" s="144"/>
      <c r="I818" s="126"/>
    </row>
    <row r="819" spans="2:10" ht="15.95" customHeight="1" x14ac:dyDescent="0.25">
      <c r="C819" s="122"/>
      <c r="D819" s="117" t="s">
        <v>380</v>
      </c>
      <c r="E819" s="118"/>
      <c r="F819" s="123" t="s">
        <v>133</v>
      </c>
      <c r="G819" s="124">
        <v>230</v>
      </c>
      <c r="H819" s="144">
        <f>VLOOKUP(D819,Bahan,6,FALSE)</f>
        <v>1880</v>
      </c>
      <c r="I819" s="126">
        <f>G819*H819</f>
        <v>432400</v>
      </c>
    </row>
    <row r="820" spans="2:10" ht="15.95" customHeight="1" x14ac:dyDescent="0.25">
      <c r="C820" s="122"/>
      <c r="D820" s="117" t="s">
        <v>1925</v>
      </c>
      <c r="E820" s="118"/>
      <c r="F820" s="123" t="s">
        <v>133</v>
      </c>
      <c r="G820" s="124">
        <v>893</v>
      </c>
      <c r="H820" s="144">
        <f>VLOOKUP(D820,Bahan,6,FALSE)</f>
        <v>250</v>
      </c>
      <c r="I820" s="126">
        <f>G820*H820</f>
        <v>223250</v>
      </c>
    </row>
    <row r="821" spans="2:10" ht="15.95" customHeight="1" x14ac:dyDescent="0.25">
      <c r="C821" s="122"/>
      <c r="D821" s="117" t="s">
        <v>1920</v>
      </c>
      <c r="E821" s="118"/>
      <c r="F821" s="123" t="s">
        <v>133</v>
      </c>
      <c r="G821" s="124">
        <v>1027</v>
      </c>
      <c r="H821" s="144">
        <f>VLOOKUP(D821,Bahan,6,FALSE)</f>
        <v>444.44444444444446</v>
      </c>
      <c r="I821" s="126">
        <f>G821*H821</f>
        <v>456444.44444444444</v>
      </c>
    </row>
    <row r="822" spans="2:10" ht="15.95" customHeight="1" thickBot="1" x14ac:dyDescent="0.3">
      <c r="C822" s="122"/>
      <c r="D822" s="117" t="s">
        <v>532</v>
      </c>
      <c r="E822" s="118"/>
      <c r="F822" s="123" t="s">
        <v>385</v>
      </c>
      <c r="G822" s="124">
        <v>200</v>
      </c>
      <c r="H822" s="144">
        <f>VLOOKUP(D822,Bahan,6,FALSE)</f>
        <v>75</v>
      </c>
      <c r="I822" s="126">
        <f>G822*H822</f>
        <v>15000</v>
      </c>
    </row>
    <row r="823" spans="2:10" ht="15.95" customHeight="1" thickBot="1" x14ac:dyDescent="0.3">
      <c r="C823" s="132"/>
      <c r="D823" s="133"/>
      <c r="E823" s="134"/>
      <c r="F823" s="134"/>
      <c r="G823" s="135" t="s">
        <v>386</v>
      </c>
      <c r="H823" s="136"/>
      <c r="I823" s="137">
        <f>SUM(I819:I822)</f>
        <v>1127094.4444444445</v>
      </c>
    </row>
    <row r="824" spans="2:10" ht="15.95" customHeight="1" thickBot="1" x14ac:dyDescent="0.3">
      <c r="C824" s="116" t="s">
        <v>387</v>
      </c>
      <c r="D824" s="117" t="s">
        <v>388</v>
      </c>
      <c r="E824" s="118"/>
      <c r="F824" s="118"/>
      <c r="G824" s="165"/>
      <c r="H824" s="144">
        <f>IF(AND(D824&lt;&gt;"",F824&lt;&gt;""),IF(C824="",IF(F824="OH",VLOOKUP(D824,[1]UPAH!$B$3:$G$32,7,0),VLOOKUP(D824,[1]BAHAN!$A$2:$D$3,4,0)),0),0)</f>
        <v>0</v>
      </c>
      <c r="I824" s="126">
        <f>G824*H824</f>
        <v>0</v>
      </c>
    </row>
    <row r="825" spans="2:10" ht="15.95" customHeight="1" thickBot="1" x14ac:dyDescent="0.3">
      <c r="C825" s="132"/>
      <c r="D825" s="133"/>
      <c r="E825" s="134"/>
      <c r="F825" s="134"/>
      <c r="G825" s="135" t="s">
        <v>389</v>
      </c>
      <c r="H825" s="136"/>
      <c r="I825" s="137">
        <f>I824</f>
        <v>0</v>
      </c>
    </row>
    <row r="826" spans="2:10" ht="15.95" customHeight="1" x14ac:dyDescent="0.25">
      <c r="C826" s="158" t="s">
        <v>390</v>
      </c>
      <c r="D826" s="159" t="s">
        <v>391</v>
      </c>
      <c r="E826" s="160"/>
      <c r="F826" s="160"/>
      <c r="G826" s="161"/>
      <c r="H826" s="162">
        <f>IF(AND(D826&lt;&gt;"",F826&lt;&gt;""),IF(C826="",IF(F826="OH",VLOOKUP(D826,[1]UPAH!$B$3:$G$32,7,0),VLOOKUP(D826,[1]BAHAN!$A$2:$D$3,4,0)),0),0)</f>
        <v>0</v>
      </c>
      <c r="I826" s="126">
        <f>SUM(I813:I825)/2</f>
        <v>1320594.4444444445</v>
      </c>
    </row>
    <row r="827" spans="2:10" ht="15.95" customHeight="1" thickBot="1" x14ac:dyDescent="0.3">
      <c r="C827" s="147" t="s">
        <v>392</v>
      </c>
      <c r="D827" s="148" t="s">
        <v>393</v>
      </c>
      <c r="E827" s="149"/>
      <c r="F827" s="149"/>
      <c r="G827" s="164">
        <v>0.1</v>
      </c>
      <c r="H827" s="151"/>
      <c r="I827" s="146">
        <f>G827*I826</f>
        <v>132059.44444444447</v>
      </c>
    </row>
    <row r="828" spans="2:10" ht="15.95" customHeight="1" thickBot="1" x14ac:dyDescent="0.3">
      <c r="C828" s="111" t="s">
        <v>394</v>
      </c>
      <c r="D828" s="112" t="s">
        <v>395</v>
      </c>
      <c r="E828" s="134"/>
      <c r="F828" s="134"/>
      <c r="G828" s="156"/>
      <c r="H828" s="136">
        <f>IF(AND(D828&lt;&gt;"",F828&lt;&gt;""),IF(C828="",IF(F828="OH",VLOOKUP(D828,[1]UPAH!$B$3:$G$32,7,0),VLOOKUP(D828,[1]BAHAN!$A$2:$D$3,4,0)),0),0)</f>
        <v>0</v>
      </c>
      <c r="I828" s="137">
        <f>ROUNDDOWN(I826+I827,0)</f>
        <v>1452653</v>
      </c>
    </row>
    <row r="829" spans="2:10" ht="15.95" customHeight="1" x14ac:dyDescent="0.25">
      <c r="C829" s="109"/>
      <c r="D829" s="109"/>
      <c r="G829" s="157"/>
    </row>
    <row r="830" spans="2:10" ht="15.95" customHeight="1" thickBot="1" x14ac:dyDescent="0.3">
      <c r="B830" s="109" t="s">
        <v>541</v>
      </c>
      <c r="C830" s="104" t="s">
        <v>542</v>
      </c>
      <c r="G830" s="157"/>
      <c r="J830" s="110">
        <f>I848</f>
        <v>1696825</v>
      </c>
    </row>
    <row r="831" spans="2:10" ht="15.95" customHeight="1" thickBot="1" x14ac:dyDescent="0.3">
      <c r="C831" s="111" t="s">
        <v>328</v>
      </c>
      <c r="D831" s="112" t="s">
        <v>359</v>
      </c>
      <c r="E831" s="113" t="s">
        <v>360</v>
      </c>
      <c r="F831" s="113" t="s">
        <v>330</v>
      </c>
      <c r="G831" s="114" t="s">
        <v>361</v>
      </c>
      <c r="H831" s="112" t="s">
        <v>362</v>
      </c>
      <c r="I831" s="115" t="s">
        <v>363</v>
      </c>
    </row>
    <row r="832" spans="2:10" ht="15.95" customHeight="1" x14ac:dyDescent="0.25">
      <c r="C832" s="116" t="s">
        <v>364</v>
      </c>
      <c r="D832" s="117" t="s">
        <v>365</v>
      </c>
      <c r="E832" s="118"/>
      <c r="F832" s="118"/>
      <c r="G832" s="165"/>
      <c r="H832" s="144"/>
      <c r="I832" s="126"/>
    </row>
    <row r="833" spans="3:9" ht="15.95" customHeight="1" x14ac:dyDescent="0.25">
      <c r="C833" s="122"/>
      <c r="D833" s="117" t="s">
        <v>366</v>
      </c>
      <c r="E833" s="123" t="s">
        <v>367</v>
      </c>
      <c r="F833" s="123" t="s">
        <v>368</v>
      </c>
      <c r="G833" s="124">
        <v>1.65</v>
      </c>
      <c r="H833" s="125">
        <f>VLOOKUP(D833,Upah,8,FALSE)</f>
        <v>125000</v>
      </c>
      <c r="I833" s="126">
        <f>G833*H833</f>
        <v>206250</v>
      </c>
    </row>
    <row r="834" spans="3:9" ht="15.95" customHeight="1" x14ac:dyDescent="0.25">
      <c r="C834" s="122"/>
      <c r="D834" s="117" t="s">
        <v>505</v>
      </c>
      <c r="E834" s="123" t="s">
        <v>414</v>
      </c>
      <c r="F834" s="123" t="s">
        <v>368</v>
      </c>
      <c r="G834" s="124">
        <v>0.27500000000000002</v>
      </c>
      <c r="H834" s="125">
        <f>VLOOKUP(D834,Upah,8,FALSE)</f>
        <v>150000</v>
      </c>
      <c r="I834" s="126">
        <f>G834*H834</f>
        <v>41250</v>
      </c>
    </row>
    <row r="835" spans="3:9" ht="15.95" customHeight="1" x14ac:dyDescent="0.25">
      <c r="C835" s="122"/>
      <c r="D835" s="117" t="s">
        <v>371</v>
      </c>
      <c r="E835" s="123" t="s">
        <v>372</v>
      </c>
      <c r="F835" s="123" t="s">
        <v>368</v>
      </c>
      <c r="G835" s="124">
        <v>2.8000000000000001E-2</v>
      </c>
      <c r="H835" s="125">
        <f>VLOOKUP(D835,Upah,8,FALSE)</f>
        <v>165000</v>
      </c>
      <c r="I835" s="126">
        <f>G835*H835</f>
        <v>4620</v>
      </c>
    </row>
    <row r="836" spans="3:9" ht="15.95" customHeight="1" thickBot="1" x14ac:dyDescent="0.3">
      <c r="C836" s="122"/>
      <c r="D836" s="117" t="s">
        <v>373</v>
      </c>
      <c r="E836" s="129" t="s">
        <v>374</v>
      </c>
      <c r="F836" s="123" t="s">
        <v>368</v>
      </c>
      <c r="G836" s="124">
        <v>8.3000000000000004E-2</v>
      </c>
      <c r="H836" s="125">
        <f>VLOOKUP(D836,Upah,8,FALSE)</f>
        <v>170000</v>
      </c>
      <c r="I836" s="126">
        <f>G836*H836</f>
        <v>14110</v>
      </c>
    </row>
    <row r="837" spans="3:9" ht="15.95" customHeight="1" thickBot="1" x14ac:dyDescent="0.3">
      <c r="C837" s="132"/>
      <c r="D837" s="133"/>
      <c r="E837" s="134"/>
      <c r="F837" s="134"/>
      <c r="G837" s="135" t="s">
        <v>375</v>
      </c>
      <c r="H837" s="136"/>
      <c r="I837" s="137">
        <f>SUM(I833:I836)</f>
        <v>266230</v>
      </c>
    </row>
    <row r="838" spans="3:9" ht="15.95" customHeight="1" x14ac:dyDescent="0.25">
      <c r="C838" s="116" t="s">
        <v>376</v>
      </c>
      <c r="D838" s="117" t="s">
        <v>377</v>
      </c>
      <c r="E838" s="118"/>
      <c r="F838" s="118"/>
      <c r="G838" s="165"/>
      <c r="H838" s="144"/>
      <c r="I838" s="126"/>
    </row>
    <row r="839" spans="3:9" ht="15.95" customHeight="1" x14ac:dyDescent="0.25">
      <c r="C839" s="122"/>
      <c r="D839" s="117" t="s">
        <v>380</v>
      </c>
      <c r="E839" s="118"/>
      <c r="F839" s="123" t="s">
        <v>133</v>
      </c>
      <c r="G839" s="124">
        <v>326</v>
      </c>
      <c r="H839" s="144">
        <f>VLOOKUP(D839,Bahan,6,FALSE)</f>
        <v>1880</v>
      </c>
      <c r="I839" s="126">
        <f>G839*H839</f>
        <v>612880</v>
      </c>
    </row>
    <row r="840" spans="3:9" ht="15.95" customHeight="1" x14ac:dyDescent="0.25">
      <c r="C840" s="122"/>
      <c r="D840" s="117" t="s">
        <v>1925</v>
      </c>
      <c r="E840" s="118"/>
      <c r="F840" s="123" t="s">
        <v>133</v>
      </c>
      <c r="G840" s="124">
        <v>760</v>
      </c>
      <c r="H840" s="144">
        <f>VLOOKUP(D840,Bahan,6,FALSE)</f>
        <v>250</v>
      </c>
      <c r="I840" s="126">
        <f>G840*H840</f>
        <v>190000</v>
      </c>
    </row>
    <row r="841" spans="3:9" ht="15.95" customHeight="1" x14ac:dyDescent="0.25">
      <c r="C841" s="122"/>
      <c r="D841" s="117" t="s">
        <v>1920</v>
      </c>
      <c r="E841" s="118"/>
      <c r="F841" s="123" t="s">
        <v>133</v>
      </c>
      <c r="G841" s="124">
        <v>1029</v>
      </c>
      <c r="H841" s="144">
        <f>VLOOKUP(D841,Bahan,6,FALSE)</f>
        <v>444.44444444444446</v>
      </c>
      <c r="I841" s="126">
        <f>G841*H841</f>
        <v>457333.33333333337</v>
      </c>
    </row>
    <row r="842" spans="3:9" ht="15.95" customHeight="1" thickBot="1" x14ac:dyDescent="0.3">
      <c r="C842" s="122"/>
      <c r="D842" s="117" t="s">
        <v>532</v>
      </c>
      <c r="E842" s="118"/>
      <c r="F842" s="123" t="s">
        <v>385</v>
      </c>
      <c r="G842" s="124">
        <v>215</v>
      </c>
      <c r="H842" s="144">
        <f>VLOOKUP(D842,Bahan,6,FALSE)</f>
        <v>75</v>
      </c>
      <c r="I842" s="126">
        <f>G842*H842</f>
        <v>16125</v>
      </c>
    </row>
    <row r="843" spans="3:9" ht="15.95" customHeight="1" thickBot="1" x14ac:dyDescent="0.3">
      <c r="C843" s="132"/>
      <c r="D843" s="133"/>
      <c r="E843" s="134"/>
      <c r="F843" s="134"/>
      <c r="G843" s="135" t="s">
        <v>386</v>
      </c>
      <c r="H843" s="136"/>
      <c r="I843" s="137">
        <f>SUM(I839:I842)</f>
        <v>1276338.3333333335</v>
      </c>
    </row>
    <row r="844" spans="3:9" ht="15.95" customHeight="1" thickBot="1" x14ac:dyDescent="0.3">
      <c r="C844" s="116" t="s">
        <v>387</v>
      </c>
      <c r="D844" s="117" t="s">
        <v>388</v>
      </c>
      <c r="E844" s="118"/>
      <c r="F844" s="118"/>
      <c r="G844" s="165"/>
      <c r="H844" s="144">
        <f>IF(AND(D844&lt;&gt;"",F844&lt;&gt;""),IF(C844="",IF(F844="OH",VLOOKUP(D844,[1]UPAH!$B$3:$G$32,7,0),VLOOKUP(D844,[1]BAHAN!$A$2:$D$3,4,0)),0),0)</f>
        <v>0</v>
      </c>
      <c r="I844" s="126">
        <f>G844*H844</f>
        <v>0</v>
      </c>
    </row>
    <row r="845" spans="3:9" ht="15.95" customHeight="1" thickBot="1" x14ac:dyDescent="0.3">
      <c r="C845" s="132"/>
      <c r="D845" s="133"/>
      <c r="E845" s="134"/>
      <c r="F845" s="134"/>
      <c r="G845" s="135" t="s">
        <v>389</v>
      </c>
      <c r="H845" s="136"/>
      <c r="I845" s="137">
        <f>I844</f>
        <v>0</v>
      </c>
    </row>
    <row r="846" spans="3:9" ht="15.95" customHeight="1" x14ac:dyDescent="0.25">
      <c r="C846" s="158" t="s">
        <v>390</v>
      </c>
      <c r="D846" s="159" t="s">
        <v>391</v>
      </c>
      <c r="E846" s="160"/>
      <c r="F846" s="160"/>
      <c r="G846" s="161"/>
      <c r="H846" s="162">
        <f>IF(AND(D846&lt;&gt;"",F846&lt;&gt;""),IF(C846="",IF(F846="OH",VLOOKUP(D846,[1]UPAH!$B$3:$G$32,7,0),VLOOKUP(D846,[1]BAHAN!$A$2:$D$3,4,0)),0),0)</f>
        <v>0</v>
      </c>
      <c r="I846" s="126">
        <f>SUM(I833:I845)/2</f>
        <v>1542568.3333333335</v>
      </c>
    </row>
    <row r="847" spans="3:9" ht="15.95" customHeight="1" thickBot="1" x14ac:dyDescent="0.3">
      <c r="C847" s="147" t="s">
        <v>392</v>
      </c>
      <c r="D847" s="148" t="s">
        <v>393</v>
      </c>
      <c r="E847" s="149"/>
      <c r="F847" s="149"/>
      <c r="G847" s="164">
        <v>0.1</v>
      </c>
      <c r="H847" s="151"/>
      <c r="I847" s="146">
        <f>G847*I846</f>
        <v>154256.83333333334</v>
      </c>
    </row>
    <row r="848" spans="3:9" ht="15.95" customHeight="1" thickBot="1" x14ac:dyDescent="0.3">
      <c r="C848" s="111" t="s">
        <v>394</v>
      </c>
      <c r="D848" s="112" t="s">
        <v>395</v>
      </c>
      <c r="E848" s="134"/>
      <c r="F848" s="134"/>
      <c r="G848" s="156"/>
      <c r="H848" s="136">
        <f>IF(AND(D848&lt;&gt;"",F848&lt;&gt;""),IF(C848="",IF(F848="OH",VLOOKUP(D848,[1]UPAH!$B$3:$G$32,7,0),VLOOKUP(D848,[1]BAHAN!$A$2:$D$3,4,0)),0),0)</f>
        <v>0</v>
      </c>
      <c r="I848" s="137">
        <f>ROUNDDOWN(I846+I847,0)</f>
        <v>1696825</v>
      </c>
    </row>
    <row r="849" spans="2:10" ht="15.95" customHeight="1" x14ac:dyDescent="0.25">
      <c r="C849" s="109"/>
      <c r="D849" s="109"/>
      <c r="G849" s="157"/>
    </row>
    <row r="850" spans="2:10" ht="15.95" customHeight="1" thickBot="1" x14ac:dyDescent="0.3">
      <c r="B850" s="109" t="s">
        <v>543</v>
      </c>
      <c r="C850" s="104" t="s">
        <v>544</v>
      </c>
      <c r="G850" s="157"/>
      <c r="J850" s="110">
        <f>I868</f>
        <v>1743595</v>
      </c>
    </row>
    <row r="851" spans="2:10" ht="15.95" customHeight="1" thickBot="1" x14ac:dyDescent="0.3">
      <c r="C851" s="111" t="s">
        <v>328</v>
      </c>
      <c r="D851" s="112" t="s">
        <v>359</v>
      </c>
      <c r="E851" s="113" t="s">
        <v>360</v>
      </c>
      <c r="F851" s="113" t="s">
        <v>330</v>
      </c>
      <c r="G851" s="114" t="s">
        <v>361</v>
      </c>
      <c r="H851" s="112" t="s">
        <v>362</v>
      </c>
      <c r="I851" s="115" t="s">
        <v>363</v>
      </c>
    </row>
    <row r="852" spans="2:10" ht="15.95" customHeight="1" x14ac:dyDescent="0.25">
      <c r="C852" s="116" t="s">
        <v>364</v>
      </c>
      <c r="D852" s="117" t="s">
        <v>365</v>
      </c>
      <c r="E852" s="118"/>
      <c r="F852" s="118"/>
      <c r="G852" s="165"/>
      <c r="H852" s="144"/>
      <c r="I852" s="126"/>
    </row>
    <row r="853" spans="2:10" ht="15.95" customHeight="1" x14ac:dyDescent="0.25">
      <c r="C853" s="122"/>
      <c r="D853" s="117" t="s">
        <v>366</v>
      </c>
      <c r="E853" s="123" t="s">
        <v>367</v>
      </c>
      <c r="F853" s="123" t="s">
        <v>368</v>
      </c>
      <c r="G853" s="124">
        <v>1.65</v>
      </c>
      <c r="H853" s="125">
        <f>VLOOKUP(D853,Upah,8,FALSE)</f>
        <v>125000</v>
      </c>
      <c r="I853" s="126">
        <f>G853*H853</f>
        <v>206250</v>
      </c>
    </row>
    <row r="854" spans="2:10" ht="15.95" customHeight="1" x14ac:dyDescent="0.25">
      <c r="C854" s="122"/>
      <c r="D854" s="117" t="s">
        <v>505</v>
      </c>
      <c r="E854" s="123" t="s">
        <v>414</v>
      </c>
      <c r="F854" s="123" t="s">
        <v>368</v>
      </c>
      <c r="G854" s="124">
        <v>0.27500000000000002</v>
      </c>
      <c r="H854" s="125">
        <f>VLOOKUP(D854,Upah,8,FALSE)</f>
        <v>150000</v>
      </c>
      <c r="I854" s="126">
        <f>G854*H854</f>
        <v>41250</v>
      </c>
    </row>
    <row r="855" spans="2:10" ht="15.95" customHeight="1" x14ac:dyDescent="0.25">
      <c r="C855" s="122"/>
      <c r="D855" s="117" t="s">
        <v>371</v>
      </c>
      <c r="E855" s="123" t="s">
        <v>372</v>
      </c>
      <c r="F855" s="123" t="s">
        <v>368</v>
      </c>
      <c r="G855" s="124">
        <v>2.8000000000000001E-2</v>
      </c>
      <c r="H855" s="125">
        <f>VLOOKUP(D855,Upah,8,FALSE)</f>
        <v>165000</v>
      </c>
      <c r="I855" s="126">
        <f>G855*H855</f>
        <v>4620</v>
      </c>
    </row>
    <row r="856" spans="2:10" ht="15.95" customHeight="1" thickBot="1" x14ac:dyDescent="0.3">
      <c r="C856" s="122"/>
      <c r="D856" s="117" t="s">
        <v>373</v>
      </c>
      <c r="E856" s="129" t="s">
        <v>374</v>
      </c>
      <c r="F856" s="123" t="s">
        <v>368</v>
      </c>
      <c r="G856" s="124">
        <v>8.3000000000000004E-2</v>
      </c>
      <c r="H856" s="125">
        <f>VLOOKUP(D856,Upah,8,FALSE)</f>
        <v>170000</v>
      </c>
      <c r="I856" s="126">
        <f>G856*H856</f>
        <v>14110</v>
      </c>
    </row>
    <row r="857" spans="2:10" ht="15.95" customHeight="1" thickBot="1" x14ac:dyDescent="0.3">
      <c r="C857" s="132"/>
      <c r="D857" s="133"/>
      <c r="E857" s="134"/>
      <c r="F857" s="134"/>
      <c r="G857" s="135" t="s">
        <v>375</v>
      </c>
      <c r="H857" s="136"/>
      <c r="I857" s="137">
        <f>SUM(I853:I856)</f>
        <v>266230</v>
      </c>
    </row>
    <row r="858" spans="2:10" ht="15.95" customHeight="1" x14ac:dyDescent="0.25">
      <c r="C858" s="116" t="s">
        <v>376</v>
      </c>
      <c r="D858" s="117" t="s">
        <v>377</v>
      </c>
      <c r="E858" s="118"/>
      <c r="F858" s="118"/>
      <c r="G858" s="165"/>
      <c r="H858" s="144"/>
      <c r="I858" s="126"/>
    </row>
    <row r="859" spans="2:10" ht="15.95" customHeight="1" x14ac:dyDescent="0.25">
      <c r="C859" s="122"/>
      <c r="D859" s="117" t="s">
        <v>380</v>
      </c>
      <c r="E859" s="118"/>
      <c r="F859" s="123" t="s">
        <v>133</v>
      </c>
      <c r="G859" s="124">
        <v>352</v>
      </c>
      <c r="H859" s="144">
        <f>VLOOKUP(D859,Bahan,6,FALSE)</f>
        <v>1880</v>
      </c>
      <c r="I859" s="126">
        <f>G859*H859</f>
        <v>661760</v>
      </c>
    </row>
    <row r="860" spans="2:10" ht="15.95" customHeight="1" x14ac:dyDescent="0.25">
      <c r="C860" s="122"/>
      <c r="D860" s="117" t="s">
        <v>1925</v>
      </c>
      <c r="E860" s="118"/>
      <c r="F860" s="123" t="s">
        <v>133</v>
      </c>
      <c r="G860" s="124">
        <v>731</v>
      </c>
      <c r="H860" s="144">
        <f>VLOOKUP(D860,Bahan,6,FALSE)</f>
        <v>250</v>
      </c>
      <c r="I860" s="126">
        <f>G860*H860</f>
        <v>182750</v>
      </c>
    </row>
    <row r="861" spans="2:10" ht="15.95" customHeight="1" x14ac:dyDescent="0.25">
      <c r="C861" s="122"/>
      <c r="D861" s="117" t="s">
        <v>1920</v>
      </c>
      <c r="E861" s="118"/>
      <c r="F861" s="123" t="s">
        <v>133</v>
      </c>
      <c r="G861" s="124">
        <v>1031</v>
      </c>
      <c r="H861" s="144">
        <f>VLOOKUP(D861,Bahan,6,FALSE)</f>
        <v>444.44444444444446</v>
      </c>
      <c r="I861" s="126">
        <f>G861*H861</f>
        <v>458222.22222222225</v>
      </c>
    </row>
    <row r="862" spans="2:10" ht="15.95" customHeight="1" thickBot="1" x14ac:dyDescent="0.3">
      <c r="C862" s="122"/>
      <c r="D862" s="117" t="s">
        <v>532</v>
      </c>
      <c r="E862" s="118"/>
      <c r="F862" s="123" t="s">
        <v>385</v>
      </c>
      <c r="G862" s="124">
        <v>215</v>
      </c>
      <c r="H862" s="144">
        <f>VLOOKUP(D862,Bahan,6,FALSE)</f>
        <v>75</v>
      </c>
      <c r="I862" s="126">
        <f>G862*H862</f>
        <v>16125</v>
      </c>
    </row>
    <row r="863" spans="2:10" ht="15.95" customHeight="1" thickBot="1" x14ac:dyDescent="0.3">
      <c r="C863" s="132"/>
      <c r="D863" s="133"/>
      <c r="E863" s="134"/>
      <c r="F863" s="134"/>
      <c r="G863" s="135" t="s">
        <v>386</v>
      </c>
      <c r="H863" s="136"/>
      <c r="I863" s="137">
        <f>SUM(I859:I862)</f>
        <v>1318857.2222222222</v>
      </c>
    </row>
    <row r="864" spans="2:10" ht="15.95" customHeight="1" thickBot="1" x14ac:dyDescent="0.3">
      <c r="C864" s="116" t="s">
        <v>387</v>
      </c>
      <c r="D864" s="117" t="s">
        <v>388</v>
      </c>
      <c r="E864" s="118"/>
      <c r="F864" s="118"/>
      <c r="G864" s="165"/>
      <c r="H864" s="144">
        <f>IF(AND(D864&lt;&gt;"",F864&lt;&gt;""),IF(C864="",IF(F864="OH",VLOOKUP(D864,[1]UPAH!$B$3:$G$32,7,0),VLOOKUP(D864,[1]BAHAN!$A$2:$D$3,4,0)),0),0)</f>
        <v>0</v>
      </c>
      <c r="I864" s="126">
        <f>G864*H864</f>
        <v>0</v>
      </c>
    </row>
    <row r="865" spans="2:10" ht="15.95" customHeight="1" thickBot="1" x14ac:dyDescent="0.3">
      <c r="C865" s="132"/>
      <c r="D865" s="133"/>
      <c r="E865" s="134"/>
      <c r="F865" s="134"/>
      <c r="G865" s="135" t="s">
        <v>389</v>
      </c>
      <c r="H865" s="136"/>
      <c r="I865" s="137">
        <f>I864</f>
        <v>0</v>
      </c>
    </row>
    <row r="866" spans="2:10" ht="15.95" customHeight="1" x14ac:dyDescent="0.25">
      <c r="C866" s="158" t="s">
        <v>390</v>
      </c>
      <c r="D866" s="159" t="s">
        <v>391</v>
      </c>
      <c r="E866" s="160"/>
      <c r="F866" s="160"/>
      <c r="G866" s="161"/>
      <c r="H866" s="162">
        <f>IF(AND(D866&lt;&gt;"",F866&lt;&gt;""),IF(C866="",IF(F866="OH",VLOOKUP(D866,[1]UPAH!$B$3:$G$32,7,0),VLOOKUP(D866,[1]BAHAN!$A$2:$D$3,4,0)),0),0)</f>
        <v>0</v>
      </c>
      <c r="I866" s="126">
        <f>SUM(I853:I865)/2</f>
        <v>1585087.2222222222</v>
      </c>
    </row>
    <row r="867" spans="2:10" ht="15.95" customHeight="1" thickBot="1" x14ac:dyDescent="0.3">
      <c r="C867" s="147" t="s">
        <v>392</v>
      </c>
      <c r="D867" s="148" t="s">
        <v>393</v>
      </c>
      <c r="E867" s="149"/>
      <c r="F867" s="149"/>
      <c r="G867" s="164">
        <v>0.1</v>
      </c>
      <c r="H867" s="151"/>
      <c r="I867" s="146">
        <f>G867*I866</f>
        <v>158508.72222222225</v>
      </c>
    </row>
    <row r="868" spans="2:10" ht="15.95" customHeight="1" thickBot="1" x14ac:dyDescent="0.3">
      <c r="C868" s="111" t="s">
        <v>394</v>
      </c>
      <c r="D868" s="112" t="s">
        <v>395</v>
      </c>
      <c r="E868" s="134"/>
      <c r="F868" s="134"/>
      <c r="G868" s="156"/>
      <c r="H868" s="136">
        <f>IF(AND(D868&lt;&gt;"",F868&lt;&gt;""),IF(C868="",IF(F868="OH",VLOOKUP(D868,[1]UPAH!$B$3:$G$32,7,0),VLOOKUP(D868,[1]BAHAN!$A$2:$D$3,4,0)),0),0)</f>
        <v>0</v>
      </c>
      <c r="I868" s="137">
        <f>ROUNDDOWN(I866+I867,0)</f>
        <v>1743595</v>
      </c>
    </row>
    <row r="869" spans="2:10" ht="15.95" customHeight="1" x14ac:dyDescent="0.25">
      <c r="C869" s="109"/>
      <c r="D869" s="109"/>
      <c r="G869" s="157"/>
    </row>
    <row r="870" spans="2:10" ht="15.95" customHeight="1" thickBot="1" x14ac:dyDescent="0.3">
      <c r="B870" s="109" t="s">
        <v>545</v>
      </c>
      <c r="C870" s="104" t="s">
        <v>546</v>
      </c>
      <c r="G870" s="157"/>
      <c r="J870" s="110">
        <f>I888</f>
        <v>1781635</v>
      </c>
    </row>
    <row r="871" spans="2:10" ht="15.95" customHeight="1" thickBot="1" x14ac:dyDescent="0.3">
      <c r="C871" s="111" t="s">
        <v>328</v>
      </c>
      <c r="D871" s="112" t="s">
        <v>359</v>
      </c>
      <c r="E871" s="113" t="s">
        <v>360</v>
      </c>
      <c r="F871" s="113" t="s">
        <v>330</v>
      </c>
      <c r="G871" s="114" t="s">
        <v>361</v>
      </c>
      <c r="H871" s="112" t="s">
        <v>362</v>
      </c>
      <c r="I871" s="115" t="s">
        <v>363</v>
      </c>
    </row>
    <row r="872" spans="2:10" ht="15.95" customHeight="1" x14ac:dyDescent="0.25">
      <c r="C872" s="116" t="s">
        <v>364</v>
      </c>
      <c r="D872" s="117" t="s">
        <v>365</v>
      </c>
      <c r="E872" s="118"/>
      <c r="F872" s="118"/>
      <c r="G872" s="165"/>
      <c r="H872" s="144"/>
      <c r="I872" s="126"/>
    </row>
    <row r="873" spans="2:10" ht="15.95" customHeight="1" x14ac:dyDescent="0.25">
      <c r="C873" s="122"/>
      <c r="D873" s="117" t="s">
        <v>366</v>
      </c>
      <c r="E873" s="123" t="s">
        <v>367</v>
      </c>
      <c r="F873" s="123" t="s">
        <v>368</v>
      </c>
      <c r="G873" s="124">
        <v>1.65</v>
      </c>
      <c r="H873" s="125">
        <f>VLOOKUP(D873,Upah,8,FALSE)</f>
        <v>125000</v>
      </c>
      <c r="I873" s="126">
        <f>G873*H873</f>
        <v>206250</v>
      </c>
    </row>
    <row r="874" spans="2:10" ht="15.95" customHeight="1" x14ac:dyDescent="0.25">
      <c r="C874" s="122"/>
      <c r="D874" s="117" t="s">
        <v>505</v>
      </c>
      <c r="E874" s="123" t="s">
        <v>414</v>
      </c>
      <c r="F874" s="123" t="s">
        <v>368</v>
      </c>
      <c r="G874" s="124">
        <v>0.27500000000000002</v>
      </c>
      <c r="H874" s="125">
        <f>VLOOKUP(D874,Upah,8,FALSE)</f>
        <v>150000</v>
      </c>
      <c r="I874" s="126">
        <f>G874*H874</f>
        <v>41250</v>
      </c>
    </row>
    <row r="875" spans="2:10" ht="15.95" customHeight="1" x14ac:dyDescent="0.25">
      <c r="C875" s="122"/>
      <c r="D875" s="117" t="s">
        <v>371</v>
      </c>
      <c r="E875" s="123" t="s">
        <v>372</v>
      </c>
      <c r="F875" s="123" t="s">
        <v>368</v>
      </c>
      <c r="G875" s="124">
        <v>2.8000000000000001E-2</v>
      </c>
      <c r="H875" s="125">
        <f>VLOOKUP(D875,Upah,8,FALSE)</f>
        <v>165000</v>
      </c>
      <c r="I875" s="126">
        <f>G875*H875</f>
        <v>4620</v>
      </c>
    </row>
    <row r="876" spans="2:10" ht="15.95" customHeight="1" thickBot="1" x14ac:dyDescent="0.3">
      <c r="C876" s="122"/>
      <c r="D876" s="117" t="s">
        <v>373</v>
      </c>
      <c r="E876" s="129" t="s">
        <v>374</v>
      </c>
      <c r="F876" s="123" t="s">
        <v>368</v>
      </c>
      <c r="G876" s="124">
        <v>8.3000000000000004E-2</v>
      </c>
      <c r="H876" s="125">
        <f>VLOOKUP(D876,Upah,8,FALSE)</f>
        <v>170000</v>
      </c>
      <c r="I876" s="126">
        <f>G876*H876</f>
        <v>14110</v>
      </c>
    </row>
    <row r="877" spans="2:10" ht="15.95" customHeight="1" thickBot="1" x14ac:dyDescent="0.3">
      <c r="C877" s="132"/>
      <c r="D877" s="133"/>
      <c r="E877" s="134"/>
      <c r="F877" s="134"/>
      <c r="G877" s="135" t="s">
        <v>375</v>
      </c>
      <c r="H877" s="136"/>
      <c r="I877" s="137">
        <f>SUM(I873:I876)</f>
        <v>266230</v>
      </c>
    </row>
    <row r="878" spans="2:10" ht="15.95" customHeight="1" x14ac:dyDescent="0.25">
      <c r="C878" s="116" t="s">
        <v>376</v>
      </c>
      <c r="D878" s="117" t="s">
        <v>377</v>
      </c>
      <c r="E878" s="118"/>
      <c r="F878" s="118"/>
      <c r="G878" s="165"/>
      <c r="H878" s="144"/>
      <c r="I878" s="126"/>
    </row>
    <row r="879" spans="2:10" ht="15.95" customHeight="1" x14ac:dyDescent="0.25">
      <c r="C879" s="122"/>
      <c r="D879" s="117" t="s">
        <v>380</v>
      </c>
      <c r="E879" s="118"/>
      <c r="F879" s="123" t="s">
        <v>133</v>
      </c>
      <c r="G879" s="124">
        <v>371</v>
      </c>
      <c r="H879" s="144">
        <f>VLOOKUP(D879,Bahan,6,FALSE)</f>
        <v>1880</v>
      </c>
      <c r="I879" s="126">
        <f>G879*H879</f>
        <v>697480</v>
      </c>
    </row>
    <row r="880" spans="2:10" ht="15.95" customHeight="1" x14ac:dyDescent="0.25">
      <c r="C880" s="122"/>
      <c r="D880" s="117" t="s">
        <v>1925</v>
      </c>
      <c r="E880" s="118"/>
      <c r="F880" s="123" t="s">
        <v>133</v>
      </c>
      <c r="G880" s="124">
        <v>698</v>
      </c>
      <c r="H880" s="144">
        <f>VLOOKUP(D880,Bahan,6,FALSE)</f>
        <v>250</v>
      </c>
      <c r="I880" s="126">
        <f>G880*H880</f>
        <v>174500</v>
      </c>
    </row>
    <row r="881" spans="2:10" ht="15.95" customHeight="1" x14ac:dyDescent="0.25">
      <c r="C881" s="122"/>
      <c r="D881" s="117" t="s">
        <v>1920</v>
      </c>
      <c r="E881" s="118"/>
      <c r="F881" s="123" t="s">
        <v>133</v>
      </c>
      <c r="G881" s="124">
        <v>1047</v>
      </c>
      <c r="H881" s="144">
        <f>VLOOKUP(D881,Bahan,6,FALSE)</f>
        <v>444.44444444444446</v>
      </c>
      <c r="I881" s="126">
        <f>G881*H881</f>
        <v>465333.33333333337</v>
      </c>
    </row>
    <row r="882" spans="2:10" ht="15.95" customHeight="1" thickBot="1" x14ac:dyDescent="0.3">
      <c r="C882" s="122"/>
      <c r="D882" s="117" t="s">
        <v>532</v>
      </c>
      <c r="E882" s="118"/>
      <c r="F882" s="123" t="s">
        <v>385</v>
      </c>
      <c r="G882" s="124">
        <v>215</v>
      </c>
      <c r="H882" s="144">
        <f>VLOOKUP(D882,Bahan,6,FALSE)</f>
        <v>75</v>
      </c>
      <c r="I882" s="126">
        <f>G882*H882</f>
        <v>16125</v>
      </c>
    </row>
    <row r="883" spans="2:10" ht="15.95" customHeight="1" thickBot="1" x14ac:dyDescent="0.3">
      <c r="C883" s="132"/>
      <c r="D883" s="133"/>
      <c r="E883" s="134"/>
      <c r="F883" s="134"/>
      <c r="G883" s="135" t="s">
        <v>386</v>
      </c>
      <c r="H883" s="136"/>
      <c r="I883" s="137">
        <f>SUM(I879:I882)</f>
        <v>1353438.3333333335</v>
      </c>
    </row>
    <row r="884" spans="2:10" ht="15.95" customHeight="1" thickBot="1" x14ac:dyDescent="0.3">
      <c r="C884" s="116" t="s">
        <v>387</v>
      </c>
      <c r="D884" s="117" t="s">
        <v>388</v>
      </c>
      <c r="E884" s="118"/>
      <c r="F884" s="118"/>
      <c r="G884" s="165"/>
      <c r="H884" s="144">
        <f>IF(AND(D884&lt;&gt;"",F884&lt;&gt;""),IF(C884="",IF(F884="OH",VLOOKUP(D884,[1]UPAH!$B$3:$G$32,7,0),VLOOKUP(D884,[1]BAHAN!$A$2:$D$3,4,0)),0),0)</f>
        <v>0</v>
      </c>
      <c r="I884" s="126">
        <f>G884*H884</f>
        <v>0</v>
      </c>
    </row>
    <row r="885" spans="2:10" ht="15.95" customHeight="1" thickBot="1" x14ac:dyDescent="0.3">
      <c r="C885" s="132"/>
      <c r="D885" s="133"/>
      <c r="E885" s="134"/>
      <c r="F885" s="134"/>
      <c r="G885" s="135" t="s">
        <v>389</v>
      </c>
      <c r="H885" s="136"/>
      <c r="I885" s="137">
        <f>I884</f>
        <v>0</v>
      </c>
    </row>
    <row r="886" spans="2:10" ht="15.95" customHeight="1" x14ac:dyDescent="0.25">
      <c r="C886" s="158" t="s">
        <v>390</v>
      </c>
      <c r="D886" s="159" t="s">
        <v>391</v>
      </c>
      <c r="E886" s="160"/>
      <c r="F886" s="160"/>
      <c r="G886" s="161"/>
      <c r="H886" s="162">
        <f>IF(AND(D886&lt;&gt;"",F886&lt;&gt;""),IF(C886="",IF(F886="OH",VLOOKUP(D886,[1]UPAH!$B$3:$G$32,7,0),VLOOKUP(D886,[1]BAHAN!$A$2:$D$3,4,0)),0),0)</f>
        <v>0</v>
      </c>
      <c r="I886" s="126">
        <f>SUM(I873:I885)/2</f>
        <v>1619668.3333333335</v>
      </c>
    </row>
    <row r="887" spans="2:10" ht="15.95" customHeight="1" thickBot="1" x14ac:dyDescent="0.3">
      <c r="C887" s="147" t="s">
        <v>392</v>
      </c>
      <c r="D887" s="148" t="s">
        <v>393</v>
      </c>
      <c r="E887" s="149"/>
      <c r="F887" s="149"/>
      <c r="G887" s="164">
        <v>0.1</v>
      </c>
      <c r="H887" s="151"/>
      <c r="I887" s="146">
        <f>G887*I886</f>
        <v>161966.83333333337</v>
      </c>
    </row>
    <row r="888" spans="2:10" ht="15.95" customHeight="1" thickBot="1" x14ac:dyDescent="0.3">
      <c r="C888" s="111" t="s">
        <v>394</v>
      </c>
      <c r="D888" s="112" t="s">
        <v>395</v>
      </c>
      <c r="E888" s="134"/>
      <c r="F888" s="134"/>
      <c r="G888" s="156"/>
      <c r="H888" s="136">
        <f>IF(AND(D888&lt;&gt;"",F888&lt;&gt;""),IF(C888="",IF(F888="OH",VLOOKUP(D888,[1]UPAH!$B$3:$G$32,7,0),VLOOKUP(D888,[1]BAHAN!$A$2:$D$3,4,0)),0),0)</f>
        <v>0</v>
      </c>
      <c r="I888" s="137">
        <f>ROUNDDOWN(I886+I887,0)</f>
        <v>1781635</v>
      </c>
    </row>
    <row r="889" spans="2:10" ht="15.95" customHeight="1" x14ac:dyDescent="0.25">
      <c r="C889" s="109"/>
      <c r="D889" s="109"/>
      <c r="G889" s="157"/>
    </row>
    <row r="890" spans="2:10" ht="15.95" customHeight="1" thickBot="1" x14ac:dyDescent="0.3">
      <c r="B890" s="109" t="s">
        <v>547</v>
      </c>
      <c r="C890" s="104" t="s">
        <v>548</v>
      </c>
      <c r="G890" s="157"/>
      <c r="J890" s="110">
        <f>I908</f>
        <v>1802958</v>
      </c>
    </row>
    <row r="891" spans="2:10" ht="15.95" customHeight="1" thickBot="1" x14ac:dyDescent="0.3">
      <c r="C891" s="111" t="s">
        <v>328</v>
      </c>
      <c r="D891" s="112" t="s">
        <v>359</v>
      </c>
      <c r="E891" s="113" t="s">
        <v>360</v>
      </c>
      <c r="F891" s="113" t="s">
        <v>330</v>
      </c>
      <c r="G891" s="114" t="s">
        <v>361</v>
      </c>
      <c r="H891" s="112" t="s">
        <v>362</v>
      </c>
      <c r="I891" s="115" t="s">
        <v>363</v>
      </c>
    </row>
    <row r="892" spans="2:10" ht="15.95" customHeight="1" x14ac:dyDescent="0.25">
      <c r="C892" s="116" t="s">
        <v>364</v>
      </c>
      <c r="D892" s="117" t="s">
        <v>365</v>
      </c>
      <c r="E892" s="118"/>
      <c r="F892" s="118"/>
      <c r="G892" s="165"/>
      <c r="H892" s="144"/>
      <c r="I892" s="126"/>
    </row>
    <row r="893" spans="2:10" ht="15.95" customHeight="1" x14ac:dyDescent="0.25">
      <c r="C893" s="122"/>
      <c r="D893" s="117" t="s">
        <v>366</v>
      </c>
      <c r="E893" s="123" t="s">
        <v>367</v>
      </c>
      <c r="F893" s="123" t="s">
        <v>368</v>
      </c>
      <c r="G893" s="124">
        <v>1.65</v>
      </c>
      <c r="H893" s="125">
        <f>VLOOKUP(D893,Upah,8,FALSE)</f>
        <v>125000</v>
      </c>
      <c r="I893" s="126">
        <f>G893*H893</f>
        <v>206250</v>
      </c>
    </row>
    <row r="894" spans="2:10" ht="15.95" customHeight="1" x14ac:dyDescent="0.25">
      <c r="C894" s="122"/>
      <c r="D894" s="117" t="s">
        <v>505</v>
      </c>
      <c r="E894" s="123" t="s">
        <v>414</v>
      </c>
      <c r="F894" s="123" t="s">
        <v>368</v>
      </c>
      <c r="G894" s="124">
        <v>0.27500000000000002</v>
      </c>
      <c r="H894" s="125">
        <f>VLOOKUP(D894,Upah,8,FALSE)</f>
        <v>150000</v>
      </c>
      <c r="I894" s="126">
        <f>G894*H894</f>
        <v>41250</v>
      </c>
    </row>
    <row r="895" spans="2:10" ht="15.95" customHeight="1" x14ac:dyDescent="0.25">
      <c r="C895" s="122"/>
      <c r="D895" s="117" t="s">
        <v>371</v>
      </c>
      <c r="E895" s="123" t="s">
        <v>372</v>
      </c>
      <c r="F895" s="123" t="s">
        <v>368</v>
      </c>
      <c r="G895" s="124">
        <v>2.8000000000000001E-2</v>
      </c>
      <c r="H895" s="125">
        <f>VLOOKUP(D895,Upah,8,FALSE)</f>
        <v>165000</v>
      </c>
      <c r="I895" s="126">
        <f>G895*H895</f>
        <v>4620</v>
      </c>
    </row>
    <row r="896" spans="2:10" ht="15.95" customHeight="1" thickBot="1" x14ac:dyDescent="0.3">
      <c r="C896" s="122"/>
      <c r="D896" s="117" t="s">
        <v>373</v>
      </c>
      <c r="E896" s="129" t="s">
        <v>374</v>
      </c>
      <c r="F896" s="123" t="s">
        <v>368</v>
      </c>
      <c r="G896" s="124">
        <v>8.3000000000000004E-2</v>
      </c>
      <c r="H896" s="125">
        <f>VLOOKUP(D896,Upah,8,FALSE)</f>
        <v>170000</v>
      </c>
      <c r="I896" s="126">
        <f>G896*H896</f>
        <v>14110</v>
      </c>
    </row>
    <row r="897" spans="2:10" ht="15.95" customHeight="1" thickBot="1" x14ac:dyDescent="0.3">
      <c r="C897" s="132"/>
      <c r="D897" s="133"/>
      <c r="E897" s="134"/>
      <c r="F897" s="134"/>
      <c r="G897" s="135" t="s">
        <v>375</v>
      </c>
      <c r="H897" s="136"/>
      <c r="I897" s="137">
        <f>SUM(I893:I896)</f>
        <v>266230</v>
      </c>
    </row>
    <row r="898" spans="2:10" ht="15.95" customHeight="1" x14ac:dyDescent="0.25">
      <c r="C898" s="116" t="s">
        <v>376</v>
      </c>
      <c r="D898" s="117" t="s">
        <v>377</v>
      </c>
      <c r="E898" s="118"/>
      <c r="F898" s="118"/>
      <c r="G898" s="165"/>
      <c r="H898" s="144"/>
      <c r="I898" s="126"/>
    </row>
    <row r="899" spans="2:10" ht="15.95" customHeight="1" x14ac:dyDescent="0.25">
      <c r="C899" s="122"/>
      <c r="D899" s="117" t="s">
        <v>380</v>
      </c>
      <c r="E899" s="118"/>
      <c r="F899" s="123" t="s">
        <v>133</v>
      </c>
      <c r="G899" s="124">
        <v>384</v>
      </c>
      <c r="H899" s="144">
        <f>VLOOKUP(D899,Bahan,6,FALSE)</f>
        <v>1880</v>
      </c>
      <c r="I899" s="126">
        <f>G899*H899</f>
        <v>721920</v>
      </c>
    </row>
    <row r="900" spans="2:10" ht="15.95" customHeight="1" x14ac:dyDescent="0.25">
      <c r="C900" s="122"/>
      <c r="D900" s="117" t="s">
        <v>1925</v>
      </c>
      <c r="E900" s="118"/>
      <c r="F900" s="123" t="s">
        <v>133</v>
      </c>
      <c r="G900" s="124">
        <v>692</v>
      </c>
      <c r="H900" s="144">
        <f>VLOOKUP(D900,Bahan,6,FALSE)</f>
        <v>250</v>
      </c>
      <c r="I900" s="126">
        <f>G900*H900</f>
        <v>173000</v>
      </c>
    </row>
    <row r="901" spans="2:10" ht="15.95" customHeight="1" x14ac:dyDescent="0.25">
      <c r="C901" s="122"/>
      <c r="D901" s="117" t="s">
        <v>1920</v>
      </c>
      <c r="E901" s="118"/>
      <c r="F901" s="123" t="s">
        <v>133</v>
      </c>
      <c r="G901" s="124">
        <v>1039</v>
      </c>
      <c r="H901" s="144">
        <f>VLOOKUP(D901,Bahan,6,FALSE)</f>
        <v>444.44444444444446</v>
      </c>
      <c r="I901" s="126">
        <f>G901*H901</f>
        <v>461777.77777777781</v>
      </c>
    </row>
    <row r="902" spans="2:10" ht="15.95" customHeight="1" thickBot="1" x14ac:dyDescent="0.3">
      <c r="C902" s="122"/>
      <c r="D902" s="117" t="s">
        <v>532</v>
      </c>
      <c r="E902" s="118"/>
      <c r="F902" s="123" t="s">
        <v>385</v>
      </c>
      <c r="G902" s="124">
        <v>215</v>
      </c>
      <c r="H902" s="144">
        <f>VLOOKUP(D902,Bahan,6,FALSE)</f>
        <v>75</v>
      </c>
      <c r="I902" s="126">
        <f>G902*H902</f>
        <v>16125</v>
      </c>
    </row>
    <row r="903" spans="2:10" ht="15.95" customHeight="1" thickBot="1" x14ac:dyDescent="0.3">
      <c r="C903" s="132"/>
      <c r="D903" s="133"/>
      <c r="E903" s="134"/>
      <c r="F903" s="134"/>
      <c r="G903" s="135" t="s">
        <v>386</v>
      </c>
      <c r="H903" s="136"/>
      <c r="I903" s="137">
        <f>SUM(I899:I902)</f>
        <v>1372822.7777777778</v>
      </c>
    </row>
    <row r="904" spans="2:10" ht="15.95" customHeight="1" thickBot="1" x14ac:dyDescent="0.3">
      <c r="C904" s="116" t="s">
        <v>387</v>
      </c>
      <c r="D904" s="117" t="s">
        <v>388</v>
      </c>
      <c r="E904" s="118"/>
      <c r="F904" s="118"/>
      <c r="G904" s="165"/>
      <c r="H904" s="144">
        <f>IF(AND(D904&lt;&gt;"",F904&lt;&gt;""),IF(C904="",IF(F904="OH",VLOOKUP(D904,[1]UPAH!$B$3:$G$32,7,0),VLOOKUP(D904,[1]BAHAN!$A$2:$D$3,4,0)),0),0)</f>
        <v>0</v>
      </c>
      <c r="I904" s="126">
        <f>G904*H904</f>
        <v>0</v>
      </c>
    </row>
    <row r="905" spans="2:10" ht="15.95" customHeight="1" thickBot="1" x14ac:dyDescent="0.3">
      <c r="C905" s="132"/>
      <c r="D905" s="133"/>
      <c r="E905" s="134"/>
      <c r="F905" s="134"/>
      <c r="G905" s="135" t="s">
        <v>389</v>
      </c>
      <c r="H905" s="136"/>
      <c r="I905" s="137">
        <f>I904</f>
        <v>0</v>
      </c>
    </row>
    <row r="906" spans="2:10" ht="15.95" customHeight="1" x14ac:dyDescent="0.25">
      <c r="C906" s="158" t="s">
        <v>390</v>
      </c>
      <c r="D906" s="159" t="s">
        <v>391</v>
      </c>
      <c r="E906" s="160"/>
      <c r="F906" s="160"/>
      <c r="G906" s="161"/>
      <c r="H906" s="162">
        <f>IF(AND(D906&lt;&gt;"",F906&lt;&gt;""),IF(C906="",IF(F906="OH",VLOOKUP(D906,[1]UPAH!$B$3:$G$32,7,0),VLOOKUP(D906,[1]BAHAN!$A$2:$D$3,4,0)),0),0)</f>
        <v>0</v>
      </c>
      <c r="I906" s="126">
        <f>SUM(I893:I905)/2</f>
        <v>1639052.7777777778</v>
      </c>
    </row>
    <row r="907" spans="2:10" ht="15.95" customHeight="1" thickBot="1" x14ac:dyDescent="0.3">
      <c r="C907" s="147" t="s">
        <v>392</v>
      </c>
      <c r="D907" s="148" t="s">
        <v>393</v>
      </c>
      <c r="E907" s="149"/>
      <c r="F907" s="149"/>
      <c r="G907" s="164">
        <v>0.1</v>
      </c>
      <c r="H907" s="151"/>
      <c r="I907" s="146">
        <f>G907*I906</f>
        <v>163905.27777777778</v>
      </c>
    </row>
    <row r="908" spans="2:10" ht="15.95" customHeight="1" thickBot="1" x14ac:dyDescent="0.3">
      <c r="C908" s="111" t="s">
        <v>394</v>
      </c>
      <c r="D908" s="112" t="s">
        <v>395</v>
      </c>
      <c r="E908" s="134"/>
      <c r="F908" s="134"/>
      <c r="G908" s="156"/>
      <c r="H908" s="136">
        <f>IF(AND(D908&lt;&gt;"",F908&lt;&gt;""),IF(C908="",IF(F908="OH",VLOOKUP(D908,[1]UPAH!$B$3:$G$32,7,0),VLOOKUP(D908,[1]BAHAN!$A$2:$D$3,4,0)),0),0)</f>
        <v>0</v>
      </c>
      <c r="I908" s="137">
        <f>ROUNDDOWN(I906+I907,0)</f>
        <v>1802958</v>
      </c>
    </row>
    <row r="909" spans="2:10" ht="15.95" customHeight="1" x14ac:dyDescent="0.25">
      <c r="C909" s="109"/>
      <c r="D909" s="109"/>
      <c r="G909" s="157"/>
      <c r="H909" s="166"/>
      <c r="I909" s="110"/>
    </row>
    <row r="910" spans="2:10" ht="15.95" customHeight="1" thickBot="1" x14ac:dyDescent="0.3">
      <c r="B910" s="109" t="s">
        <v>549</v>
      </c>
      <c r="C910" s="104" t="s">
        <v>550</v>
      </c>
      <c r="G910" s="157"/>
      <c r="J910" s="110">
        <f>I928</f>
        <v>1839898</v>
      </c>
    </row>
    <row r="911" spans="2:10" ht="15.95" customHeight="1" thickBot="1" x14ac:dyDescent="0.3">
      <c r="C911" s="111" t="s">
        <v>328</v>
      </c>
      <c r="D911" s="112" t="s">
        <v>359</v>
      </c>
      <c r="E911" s="113" t="s">
        <v>360</v>
      </c>
      <c r="F911" s="113" t="s">
        <v>330</v>
      </c>
      <c r="G911" s="114" t="s">
        <v>361</v>
      </c>
      <c r="H911" s="112" t="s">
        <v>362</v>
      </c>
      <c r="I911" s="115" t="s">
        <v>363</v>
      </c>
    </row>
    <row r="912" spans="2:10" ht="15.95" customHeight="1" x14ac:dyDescent="0.25">
      <c r="C912" s="116" t="s">
        <v>364</v>
      </c>
      <c r="D912" s="117" t="s">
        <v>365</v>
      </c>
      <c r="E912" s="118"/>
      <c r="F912" s="118"/>
      <c r="G912" s="165"/>
      <c r="H912" s="144"/>
      <c r="I912" s="126"/>
    </row>
    <row r="913" spans="3:9" ht="15.95" customHeight="1" x14ac:dyDescent="0.25">
      <c r="C913" s="122"/>
      <c r="D913" s="117" t="s">
        <v>366</v>
      </c>
      <c r="E913" s="123" t="s">
        <v>367</v>
      </c>
      <c r="F913" s="123" t="s">
        <v>368</v>
      </c>
      <c r="G913" s="124">
        <v>1.65</v>
      </c>
      <c r="H913" s="125">
        <f>VLOOKUP(D913,Upah,8,FALSE)</f>
        <v>125000</v>
      </c>
      <c r="I913" s="126">
        <f>G913*H913</f>
        <v>206250</v>
      </c>
    </row>
    <row r="914" spans="3:9" ht="15.95" customHeight="1" x14ac:dyDescent="0.25">
      <c r="C914" s="122"/>
      <c r="D914" s="117" t="s">
        <v>505</v>
      </c>
      <c r="E914" s="123" t="s">
        <v>414</v>
      </c>
      <c r="F914" s="123" t="s">
        <v>368</v>
      </c>
      <c r="G914" s="124">
        <v>0.27500000000000002</v>
      </c>
      <c r="H914" s="125">
        <f>VLOOKUP(D914,Upah,8,FALSE)</f>
        <v>150000</v>
      </c>
      <c r="I914" s="126">
        <f>G914*H914</f>
        <v>41250</v>
      </c>
    </row>
    <row r="915" spans="3:9" ht="15.95" customHeight="1" x14ac:dyDescent="0.25">
      <c r="C915" s="122"/>
      <c r="D915" s="117" t="s">
        <v>371</v>
      </c>
      <c r="E915" s="123" t="s">
        <v>372</v>
      </c>
      <c r="F915" s="123" t="s">
        <v>368</v>
      </c>
      <c r="G915" s="124">
        <v>2.8000000000000001E-2</v>
      </c>
      <c r="H915" s="125">
        <f>VLOOKUP(D915,Upah,8,FALSE)</f>
        <v>165000</v>
      </c>
      <c r="I915" s="126">
        <f>G915*H915</f>
        <v>4620</v>
      </c>
    </row>
    <row r="916" spans="3:9" ht="15.95" customHeight="1" thickBot="1" x14ac:dyDescent="0.3">
      <c r="C916" s="122"/>
      <c r="D916" s="117" t="s">
        <v>373</v>
      </c>
      <c r="E916" s="129" t="s">
        <v>374</v>
      </c>
      <c r="F916" s="123" t="s">
        <v>368</v>
      </c>
      <c r="G916" s="124">
        <v>8.3000000000000004E-2</v>
      </c>
      <c r="H916" s="125">
        <f>VLOOKUP(D916,Upah,8,FALSE)</f>
        <v>170000</v>
      </c>
      <c r="I916" s="126">
        <f>G916*H916</f>
        <v>14110</v>
      </c>
    </row>
    <row r="917" spans="3:9" ht="15.95" customHeight="1" thickBot="1" x14ac:dyDescent="0.3">
      <c r="C917" s="132"/>
      <c r="D917" s="133"/>
      <c r="E917" s="134"/>
      <c r="F917" s="134"/>
      <c r="G917" s="135" t="s">
        <v>375</v>
      </c>
      <c r="H917" s="136"/>
      <c r="I917" s="137">
        <f>SUM(I913:I916)</f>
        <v>266230</v>
      </c>
    </row>
    <row r="918" spans="3:9" ht="15.95" customHeight="1" x14ac:dyDescent="0.25">
      <c r="C918" s="116" t="s">
        <v>376</v>
      </c>
      <c r="D918" s="117" t="s">
        <v>377</v>
      </c>
      <c r="E918" s="118"/>
      <c r="F918" s="118"/>
      <c r="G918" s="165"/>
      <c r="H918" s="144"/>
      <c r="I918" s="126"/>
    </row>
    <row r="919" spans="3:9" ht="15.95" customHeight="1" x14ac:dyDescent="0.25">
      <c r="C919" s="122"/>
      <c r="D919" s="117" t="s">
        <v>380</v>
      </c>
      <c r="E919" s="118"/>
      <c r="F919" s="123" t="s">
        <v>133</v>
      </c>
      <c r="G919" s="124">
        <v>406</v>
      </c>
      <c r="H919" s="144">
        <f>VLOOKUP(D919,Bahan,6,FALSE)</f>
        <v>1880</v>
      </c>
      <c r="I919" s="126">
        <f>G919*H919</f>
        <v>763280</v>
      </c>
    </row>
    <row r="920" spans="3:9" ht="15.95" customHeight="1" x14ac:dyDescent="0.25">
      <c r="C920" s="122"/>
      <c r="D920" s="117" t="s">
        <v>1925</v>
      </c>
      <c r="E920" s="118"/>
      <c r="F920" s="123" t="s">
        <v>133</v>
      </c>
      <c r="G920" s="124">
        <v>684</v>
      </c>
      <c r="H920" s="144">
        <f>VLOOKUP(D920,Bahan,6,FALSE)</f>
        <v>250</v>
      </c>
      <c r="I920" s="126">
        <f>G920*H920</f>
        <v>171000</v>
      </c>
    </row>
    <row r="921" spans="3:9" ht="15.95" customHeight="1" x14ac:dyDescent="0.25">
      <c r="C921" s="122"/>
      <c r="D921" s="117" t="s">
        <v>1920</v>
      </c>
      <c r="E921" s="118"/>
      <c r="F921" s="123" t="s">
        <v>133</v>
      </c>
      <c r="G921" s="124">
        <v>1026</v>
      </c>
      <c r="H921" s="144">
        <f>VLOOKUP(D921,Bahan,6,FALSE)</f>
        <v>444.44444444444446</v>
      </c>
      <c r="I921" s="126">
        <f>G921*H921</f>
        <v>456000</v>
      </c>
    </row>
    <row r="922" spans="3:9" ht="15.95" customHeight="1" thickBot="1" x14ac:dyDescent="0.3">
      <c r="C922" s="122"/>
      <c r="D922" s="117" t="s">
        <v>532</v>
      </c>
      <c r="E922" s="118"/>
      <c r="F922" s="123" t="s">
        <v>385</v>
      </c>
      <c r="G922" s="124">
        <v>215</v>
      </c>
      <c r="H922" s="144">
        <f>VLOOKUP(D922,Bahan,6,FALSE)</f>
        <v>75</v>
      </c>
      <c r="I922" s="126">
        <f>G922*H922</f>
        <v>16125</v>
      </c>
    </row>
    <row r="923" spans="3:9" ht="15.95" customHeight="1" thickBot="1" x14ac:dyDescent="0.3">
      <c r="C923" s="132"/>
      <c r="D923" s="133"/>
      <c r="E923" s="134"/>
      <c r="F923" s="134"/>
      <c r="G923" s="135" t="s">
        <v>386</v>
      </c>
      <c r="H923" s="136"/>
      <c r="I923" s="137">
        <f>SUM(I919:I922)</f>
        <v>1406405</v>
      </c>
    </row>
    <row r="924" spans="3:9" ht="15.95" customHeight="1" thickBot="1" x14ac:dyDescent="0.3">
      <c r="C924" s="116" t="s">
        <v>387</v>
      </c>
      <c r="D924" s="117" t="s">
        <v>388</v>
      </c>
      <c r="E924" s="118"/>
      <c r="F924" s="118"/>
      <c r="G924" s="165"/>
      <c r="H924" s="144">
        <f>IF(AND(D924&lt;&gt;"",F924&lt;&gt;""),IF(C924="",IF(F924="OH",VLOOKUP(D924,[1]UPAH!$B$3:$G$32,7,0),VLOOKUP(D924,[1]BAHAN!$A$2:$D$3,4,0)),0),0)</f>
        <v>0</v>
      </c>
      <c r="I924" s="126">
        <f>G924*H924</f>
        <v>0</v>
      </c>
    </row>
    <row r="925" spans="3:9" ht="15.95" customHeight="1" thickBot="1" x14ac:dyDescent="0.3">
      <c r="C925" s="132"/>
      <c r="D925" s="133"/>
      <c r="E925" s="134"/>
      <c r="F925" s="134"/>
      <c r="G925" s="135" t="s">
        <v>389</v>
      </c>
      <c r="H925" s="136"/>
      <c r="I925" s="137">
        <f>I924</f>
        <v>0</v>
      </c>
    </row>
    <row r="926" spans="3:9" ht="15.95" customHeight="1" x14ac:dyDescent="0.25">
      <c r="C926" s="158" t="s">
        <v>390</v>
      </c>
      <c r="D926" s="159" t="s">
        <v>391</v>
      </c>
      <c r="E926" s="160"/>
      <c r="F926" s="160"/>
      <c r="G926" s="161"/>
      <c r="H926" s="162">
        <f>IF(AND(D926&lt;&gt;"",F926&lt;&gt;""),IF(C926="",IF(F926="OH",VLOOKUP(D926,[1]UPAH!$B$3:$G$32,7,0),VLOOKUP(D926,[1]BAHAN!$A$2:$D$3,4,0)),0),0)</f>
        <v>0</v>
      </c>
      <c r="I926" s="126">
        <f>SUM(I912:I925)/2</f>
        <v>1672635</v>
      </c>
    </row>
    <row r="927" spans="3:9" ht="15.95" customHeight="1" thickBot="1" x14ac:dyDescent="0.3">
      <c r="C927" s="147" t="s">
        <v>392</v>
      </c>
      <c r="D927" s="148" t="s">
        <v>393</v>
      </c>
      <c r="E927" s="149"/>
      <c r="F927" s="149"/>
      <c r="G927" s="164">
        <v>0.1</v>
      </c>
      <c r="H927" s="151"/>
      <c r="I927" s="146">
        <f>G927*I926</f>
        <v>167263.5</v>
      </c>
    </row>
    <row r="928" spans="3:9" ht="15.95" customHeight="1" thickBot="1" x14ac:dyDescent="0.3">
      <c r="C928" s="111" t="s">
        <v>394</v>
      </c>
      <c r="D928" s="112" t="s">
        <v>395</v>
      </c>
      <c r="E928" s="134"/>
      <c r="F928" s="134"/>
      <c r="G928" s="156"/>
      <c r="H928" s="136">
        <f>IF(AND(D928&lt;&gt;"",F928&lt;&gt;""),IF(C928="",IF(F928="OH",VLOOKUP(D928,[1]UPAH!$B$3:$G$32,7,0),VLOOKUP(D928,[1]BAHAN!$A$2:$D$3,4,0)),0),0)</f>
        <v>0</v>
      </c>
      <c r="I928" s="137">
        <f>ROUNDDOWN(I926+I927,0)</f>
        <v>1839898</v>
      </c>
    </row>
    <row r="929" spans="2:12" ht="15.95" customHeight="1" x14ac:dyDescent="0.25">
      <c r="C929" s="109"/>
      <c r="D929" s="109"/>
      <c r="G929" s="157"/>
      <c r="H929" s="166"/>
      <c r="I929" s="110"/>
    </row>
    <row r="930" spans="2:12" ht="15.95" customHeight="1" thickBot="1" x14ac:dyDescent="0.3">
      <c r="B930" s="109" t="s">
        <v>551</v>
      </c>
      <c r="C930" s="104" t="s">
        <v>552</v>
      </c>
      <c r="G930" s="157"/>
      <c r="J930" s="110">
        <f>I948</f>
        <v>1851105</v>
      </c>
    </row>
    <row r="931" spans="2:12" ht="15.95" customHeight="1" thickBot="1" x14ac:dyDescent="0.3">
      <c r="C931" s="111" t="s">
        <v>328</v>
      </c>
      <c r="D931" s="112" t="s">
        <v>359</v>
      </c>
      <c r="E931" s="113" t="s">
        <v>360</v>
      </c>
      <c r="F931" s="113" t="s">
        <v>330</v>
      </c>
      <c r="G931" s="114" t="s">
        <v>361</v>
      </c>
      <c r="H931" s="112" t="s">
        <v>362</v>
      </c>
      <c r="I931" s="115" t="s">
        <v>363</v>
      </c>
    </row>
    <row r="932" spans="2:12" ht="15.95" customHeight="1" x14ac:dyDescent="0.25">
      <c r="C932" s="116" t="s">
        <v>364</v>
      </c>
      <c r="D932" s="117" t="s">
        <v>365</v>
      </c>
      <c r="E932" s="118"/>
      <c r="F932" s="118"/>
      <c r="G932" s="165"/>
      <c r="H932" s="144"/>
      <c r="I932" s="126"/>
    </row>
    <row r="933" spans="2:12" ht="15.95" customHeight="1" x14ac:dyDescent="0.25">
      <c r="C933" s="122"/>
      <c r="D933" s="117" t="s">
        <v>366</v>
      </c>
      <c r="E933" s="123" t="s">
        <v>367</v>
      </c>
      <c r="F933" s="123" t="s">
        <v>368</v>
      </c>
      <c r="G933" s="124">
        <v>1.65</v>
      </c>
      <c r="H933" s="125">
        <f>VLOOKUP(D933,Upah,8,FALSE)</f>
        <v>125000</v>
      </c>
      <c r="I933" s="126">
        <f>G933*H933</f>
        <v>206250</v>
      </c>
    </row>
    <row r="934" spans="2:12" ht="15.95" customHeight="1" x14ac:dyDescent="0.25">
      <c r="C934" s="122"/>
      <c r="D934" s="117" t="s">
        <v>505</v>
      </c>
      <c r="E934" s="123" t="s">
        <v>414</v>
      </c>
      <c r="F934" s="123" t="s">
        <v>368</v>
      </c>
      <c r="G934" s="124">
        <v>0.27500000000000002</v>
      </c>
      <c r="H934" s="125">
        <f>VLOOKUP(D934,Upah,8,FALSE)</f>
        <v>150000</v>
      </c>
      <c r="I934" s="126">
        <f>G934*H934</f>
        <v>41250</v>
      </c>
    </row>
    <row r="935" spans="2:12" ht="15.95" customHeight="1" x14ac:dyDescent="0.25">
      <c r="C935" s="122"/>
      <c r="D935" s="117" t="s">
        <v>371</v>
      </c>
      <c r="E935" s="123" t="s">
        <v>372</v>
      </c>
      <c r="F935" s="123" t="s">
        <v>368</v>
      </c>
      <c r="G935" s="124">
        <v>2.8000000000000001E-2</v>
      </c>
      <c r="H935" s="125">
        <f>VLOOKUP(D935,Upah,8,FALSE)</f>
        <v>165000</v>
      </c>
      <c r="I935" s="126">
        <f>G935*H935</f>
        <v>4620</v>
      </c>
    </row>
    <row r="936" spans="2:12" ht="15.95" customHeight="1" thickBot="1" x14ac:dyDescent="0.3">
      <c r="C936" s="122"/>
      <c r="D936" s="117" t="s">
        <v>373</v>
      </c>
      <c r="E936" s="129" t="s">
        <v>374</v>
      </c>
      <c r="F936" s="123" t="s">
        <v>368</v>
      </c>
      <c r="G936" s="124">
        <v>8.3000000000000004E-2</v>
      </c>
      <c r="H936" s="125">
        <f>VLOOKUP(D936,Upah,8,FALSE)</f>
        <v>170000</v>
      </c>
      <c r="I936" s="126">
        <f>G936*H936</f>
        <v>14110</v>
      </c>
    </row>
    <row r="937" spans="2:12" ht="15.95" customHeight="1" thickBot="1" x14ac:dyDescent="0.3">
      <c r="C937" s="132"/>
      <c r="D937" s="133"/>
      <c r="E937" s="134"/>
      <c r="F937" s="134"/>
      <c r="G937" s="135" t="s">
        <v>375</v>
      </c>
      <c r="H937" s="136"/>
      <c r="I937" s="137">
        <f>SUM(I933:I936)</f>
        <v>266230</v>
      </c>
    </row>
    <row r="938" spans="2:12" ht="15.95" customHeight="1" x14ac:dyDescent="0.25">
      <c r="C938" s="116" t="s">
        <v>376</v>
      </c>
      <c r="D938" s="117" t="s">
        <v>377</v>
      </c>
      <c r="E938" s="118"/>
      <c r="F938" s="118"/>
      <c r="G938" s="165"/>
      <c r="H938" s="144"/>
      <c r="I938" s="126"/>
    </row>
    <row r="939" spans="2:12" ht="15.95" customHeight="1" x14ac:dyDescent="0.25">
      <c r="C939" s="122"/>
      <c r="D939" s="117" t="s">
        <v>380</v>
      </c>
      <c r="E939" s="118"/>
      <c r="F939" s="123" t="s">
        <v>133</v>
      </c>
      <c r="G939" s="124">
        <v>413</v>
      </c>
      <c r="H939" s="144">
        <f>VLOOKUP(D939,Bahan,6,FALSE)</f>
        <v>1880</v>
      </c>
      <c r="I939" s="126">
        <f>G939*H939</f>
        <v>776440</v>
      </c>
      <c r="K939" s="173"/>
      <c r="L939" s="108"/>
    </row>
    <row r="940" spans="2:12" ht="15.95" customHeight="1" x14ac:dyDescent="0.25">
      <c r="C940" s="122"/>
      <c r="D940" s="117" t="s">
        <v>1925</v>
      </c>
      <c r="E940" s="118"/>
      <c r="F940" s="123" t="s">
        <v>133</v>
      </c>
      <c r="G940" s="124">
        <v>681</v>
      </c>
      <c r="H940" s="144">
        <f>VLOOKUP(D940,Bahan,6,FALSE)</f>
        <v>250</v>
      </c>
      <c r="I940" s="126">
        <f>G940*H940</f>
        <v>170250</v>
      </c>
      <c r="L940" s="108"/>
    </row>
    <row r="941" spans="2:12" ht="15.95" customHeight="1" x14ac:dyDescent="0.25">
      <c r="C941" s="122"/>
      <c r="D941" s="117" t="s">
        <v>1920</v>
      </c>
      <c r="E941" s="118"/>
      <c r="F941" s="123" t="s">
        <v>133</v>
      </c>
      <c r="G941" s="124">
        <v>1021</v>
      </c>
      <c r="H941" s="144">
        <f>VLOOKUP(D941,Bahan,6,FALSE)</f>
        <v>444.44444444444446</v>
      </c>
      <c r="I941" s="126">
        <f>G941*H941</f>
        <v>453777.77777777781</v>
      </c>
      <c r="L941" s="108"/>
    </row>
    <row r="942" spans="2:12" ht="15.95" customHeight="1" thickBot="1" x14ac:dyDescent="0.3">
      <c r="C942" s="122"/>
      <c r="D942" s="117" t="s">
        <v>532</v>
      </c>
      <c r="E942" s="118"/>
      <c r="F942" s="123" t="s">
        <v>385</v>
      </c>
      <c r="G942" s="124">
        <v>215</v>
      </c>
      <c r="H942" s="144">
        <f>VLOOKUP(D942,Bahan,6,FALSE)</f>
        <v>75</v>
      </c>
      <c r="I942" s="126">
        <f>G942*H942</f>
        <v>16125</v>
      </c>
      <c r="L942" s="108"/>
    </row>
    <row r="943" spans="2:12" ht="15.95" customHeight="1" thickBot="1" x14ac:dyDescent="0.3">
      <c r="C943" s="132"/>
      <c r="D943" s="133"/>
      <c r="E943" s="134"/>
      <c r="F943" s="134"/>
      <c r="G943" s="135" t="s">
        <v>386</v>
      </c>
      <c r="H943" s="136"/>
      <c r="I943" s="137">
        <f>SUM(I939:I942)</f>
        <v>1416592.7777777778</v>
      </c>
    </row>
    <row r="944" spans="2:12" ht="15.95" customHeight="1" thickBot="1" x14ac:dyDescent="0.3">
      <c r="C944" s="116" t="s">
        <v>387</v>
      </c>
      <c r="D944" s="117" t="s">
        <v>388</v>
      </c>
      <c r="E944" s="118"/>
      <c r="F944" s="118"/>
      <c r="G944" s="165"/>
      <c r="H944" s="144">
        <f>IF(AND(D944&lt;&gt;"",F944&lt;&gt;""),IF(C944="",IF(F944="OH",VLOOKUP(D944,[1]UPAH!$B$3:$G$32,7,0),VLOOKUP(D944,[1]BAHAN!$A$2:$D$3,4,0)),0),0)</f>
        <v>0</v>
      </c>
      <c r="I944" s="126">
        <f>G944*H944</f>
        <v>0</v>
      </c>
    </row>
    <row r="945" spans="2:10" ht="15.95" customHeight="1" thickBot="1" x14ac:dyDescent="0.3">
      <c r="C945" s="132"/>
      <c r="D945" s="133"/>
      <c r="E945" s="134"/>
      <c r="F945" s="134"/>
      <c r="G945" s="135" t="s">
        <v>389</v>
      </c>
      <c r="H945" s="136"/>
      <c r="I945" s="137">
        <f>I944</f>
        <v>0</v>
      </c>
    </row>
    <row r="946" spans="2:10" ht="15.95" customHeight="1" x14ac:dyDescent="0.25">
      <c r="C946" s="158" t="s">
        <v>390</v>
      </c>
      <c r="D946" s="159" t="s">
        <v>391</v>
      </c>
      <c r="E946" s="160"/>
      <c r="F946" s="160"/>
      <c r="G946" s="161"/>
      <c r="H946" s="162">
        <f>IF(AND(D946&lt;&gt;"",F946&lt;&gt;""),IF(C946="",IF(F946="OH",VLOOKUP(D946,[1]UPAH!$B$3:$G$32,7,0),VLOOKUP(D946,[1]BAHAN!$A$2:$D$3,4,0)),0),0)</f>
        <v>0</v>
      </c>
      <c r="I946" s="126">
        <f>SUM(I932:I945)/2</f>
        <v>1682822.7777777778</v>
      </c>
    </row>
    <row r="947" spans="2:10" ht="15.95" customHeight="1" thickBot="1" x14ac:dyDescent="0.3">
      <c r="C947" s="147" t="s">
        <v>392</v>
      </c>
      <c r="D947" s="148" t="s">
        <v>393</v>
      </c>
      <c r="E947" s="149"/>
      <c r="F947" s="149"/>
      <c r="G947" s="164">
        <v>0.1</v>
      </c>
      <c r="H947" s="151"/>
      <c r="I947" s="146">
        <f>G947*I946</f>
        <v>168282.27777777778</v>
      </c>
    </row>
    <row r="948" spans="2:10" ht="15.95" customHeight="1" thickBot="1" x14ac:dyDescent="0.3">
      <c r="C948" s="111" t="s">
        <v>394</v>
      </c>
      <c r="D948" s="112" t="s">
        <v>395</v>
      </c>
      <c r="E948" s="134"/>
      <c r="F948" s="134"/>
      <c r="G948" s="156"/>
      <c r="H948" s="136">
        <f>IF(AND(D948&lt;&gt;"",F948&lt;&gt;""),IF(C948="",IF(F948="OH",VLOOKUP(D948,[1]UPAH!$B$3:$G$32,7,0),VLOOKUP(D948,[1]BAHAN!$A$2:$D$3,4,0)),0),0)</f>
        <v>0</v>
      </c>
      <c r="I948" s="137">
        <f>ROUNDDOWN(I946+I947,0)</f>
        <v>1851105</v>
      </c>
    </row>
    <row r="949" spans="2:10" ht="15.95" customHeight="1" x14ac:dyDescent="0.25">
      <c r="C949" s="109"/>
      <c r="D949" s="109"/>
      <c r="G949" s="157"/>
    </row>
    <row r="950" spans="2:10" ht="15.95" customHeight="1" thickBot="1" x14ac:dyDescent="0.3">
      <c r="B950" s="109" t="s">
        <v>553</v>
      </c>
      <c r="C950" s="104" t="s">
        <v>554</v>
      </c>
      <c r="G950" s="157"/>
      <c r="J950" s="110">
        <f>I968</f>
        <v>1974149</v>
      </c>
    </row>
    <row r="951" spans="2:10" ht="15.95" customHeight="1" thickBot="1" x14ac:dyDescent="0.3">
      <c r="C951" s="111" t="s">
        <v>328</v>
      </c>
      <c r="D951" s="112" t="s">
        <v>359</v>
      </c>
      <c r="E951" s="113" t="s">
        <v>360</v>
      </c>
      <c r="F951" s="113" t="s">
        <v>330</v>
      </c>
      <c r="G951" s="114" t="s">
        <v>361</v>
      </c>
      <c r="H951" s="112" t="s">
        <v>362</v>
      </c>
      <c r="I951" s="115" t="s">
        <v>363</v>
      </c>
    </row>
    <row r="952" spans="2:10" ht="15.95" customHeight="1" x14ac:dyDescent="0.25">
      <c r="C952" s="116" t="s">
        <v>364</v>
      </c>
      <c r="D952" s="117" t="s">
        <v>365</v>
      </c>
      <c r="E952" s="118"/>
      <c r="F952" s="118"/>
      <c r="G952" s="165"/>
      <c r="H952" s="144"/>
      <c r="I952" s="126"/>
    </row>
    <row r="953" spans="2:10" ht="15.95" customHeight="1" x14ac:dyDescent="0.25">
      <c r="C953" s="122"/>
      <c r="D953" s="117" t="s">
        <v>366</v>
      </c>
      <c r="E953" s="123" t="s">
        <v>367</v>
      </c>
      <c r="F953" s="123" t="s">
        <v>368</v>
      </c>
      <c r="G953" s="124">
        <v>2.1</v>
      </c>
      <c r="H953" s="125">
        <f>VLOOKUP(D953,Upah,8,FALSE)</f>
        <v>125000</v>
      </c>
      <c r="I953" s="126">
        <f>G953*H953</f>
        <v>262500</v>
      </c>
    </row>
    <row r="954" spans="2:10" ht="15.95" customHeight="1" x14ac:dyDescent="0.25">
      <c r="C954" s="122"/>
      <c r="D954" s="117" t="s">
        <v>505</v>
      </c>
      <c r="E954" s="123" t="s">
        <v>414</v>
      </c>
      <c r="F954" s="123" t="s">
        <v>368</v>
      </c>
      <c r="G954" s="124">
        <v>0.35</v>
      </c>
      <c r="H954" s="125">
        <f>VLOOKUP(D954,Upah,8,FALSE)</f>
        <v>150000</v>
      </c>
      <c r="I954" s="126">
        <f>G954*H954</f>
        <v>52500</v>
      </c>
    </row>
    <row r="955" spans="2:10" ht="15.95" customHeight="1" x14ac:dyDescent="0.25">
      <c r="C955" s="122"/>
      <c r="D955" s="117" t="s">
        <v>371</v>
      </c>
      <c r="E955" s="123" t="s">
        <v>372</v>
      </c>
      <c r="F955" s="123" t="s">
        <v>368</v>
      </c>
      <c r="G955" s="124">
        <v>3.5000000000000003E-2</v>
      </c>
      <c r="H955" s="125">
        <f>VLOOKUP(D955,Upah,8,FALSE)</f>
        <v>165000</v>
      </c>
      <c r="I955" s="126">
        <f>G955*H955</f>
        <v>5775.0000000000009</v>
      </c>
    </row>
    <row r="956" spans="2:10" ht="15.95" customHeight="1" thickBot="1" x14ac:dyDescent="0.3">
      <c r="C956" s="122"/>
      <c r="D956" s="117" t="s">
        <v>373</v>
      </c>
      <c r="E956" s="129" t="s">
        <v>374</v>
      </c>
      <c r="F956" s="123" t="s">
        <v>368</v>
      </c>
      <c r="G956" s="124">
        <v>0.105</v>
      </c>
      <c r="H956" s="125">
        <f>VLOOKUP(D956,Upah,8,FALSE)</f>
        <v>170000</v>
      </c>
      <c r="I956" s="126">
        <f>G956*H956</f>
        <v>17850</v>
      </c>
    </row>
    <row r="957" spans="2:10" ht="15.95" customHeight="1" thickBot="1" x14ac:dyDescent="0.3">
      <c r="C957" s="132"/>
      <c r="D957" s="133"/>
      <c r="E957" s="134"/>
      <c r="F957" s="134"/>
      <c r="G957" s="135" t="s">
        <v>375</v>
      </c>
      <c r="H957" s="136"/>
      <c r="I957" s="137">
        <f>SUM(I953:I956)</f>
        <v>338625</v>
      </c>
    </row>
    <row r="958" spans="2:10" ht="15.95" customHeight="1" x14ac:dyDescent="0.25">
      <c r="C958" s="116" t="s">
        <v>376</v>
      </c>
      <c r="D958" s="117" t="s">
        <v>377</v>
      </c>
      <c r="E958" s="118"/>
      <c r="F958" s="118"/>
      <c r="G958" s="165"/>
      <c r="H958" s="144"/>
      <c r="I958" s="126"/>
    </row>
    <row r="959" spans="2:10" ht="15.95" customHeight="1" x14ac:dyDescent="0.25">
      <c r="C959" s="122"/>
      <c r="D959" s="117" t="s">
        <v>380</v>
      </c>
      <c r="E959" s="118"/>
      <c r="F959" s="123" t="s">
        <v>133</v>
      </c>
      <c r="G959" s="124">
        <v>439</v>
      </c>
      <c r="H959" s="144">
        <f>VLOOKUP(D959,Bahan,6,FALSE)</f>
        <v>1880</v>
      </c>
      <c r="I959" s="126">
        <f>G959*H959</f>
        <v>825320</v>
      </c>
    </row>
    <row r="960" spans="2:10" ht="15.95" customHeight="1" x14ac:dyDescent="0.25">
      <c r="C960" s="122"/>
      <c r="D960" s="117" t="s">
        <v>1925</v>
      </c>
      <c r="E960" s="118"/>
      <c r="F960" s="123" t="s">
        <v>133</v>
      </c>
      <c r="G960" s="124">
        <v>670</v>
      </c>
      <c r="H960" s="144">
        <f>VLOOKUP(D960,Bahan,6,FALSE)</f>
        <v>250</v>
      </c>
      <c r="I960" s="126">
        <f>G960*H960</f>
        <v>167500</v>
      </c>
    </row>
    <row r="961" spans="2:10" ht="15.95" customHeight="1" x14ac:dyDescent="0.25">
      <c r="C961" s="122"/>
      <c r="D961" s="117" t="s">
        <v>1920</v>
      </c>
      <c r="E961" s="118"/>
      <c r="F961" s="123" t="s">
        <v>133</v>
      </c>
      <c r="G961" s="124">
        <v>1006</v>
      </c>
      <c r="H961" s="144">
        <f>VLOOKUP(D961,Bahan,6,FALSE)</f>
        <v>444.44444444444446</v>
      </c>
      <c r="I961" s="126">
        <f>G961*H961</f>
        <v>447111.11111111112</v>
      </c>
    </row>
    <row r="962" spans="2:10" ht="15.95" customHeight="1" thickBot="1" x14ac:dyDescent="0.3">
      <c r="C962" s="122"/>
      <c r="D962" s="117" t="s">
        <v>532</v>
      </c>
      <c r="E962" s="118"/>
      <c r="F962" s="123" t="s">
        <v>385</v>
      </c>
      <c r="G962" s="124">
        <v>215</v>
      </c>
      <c r="H962" s="144">
        <f>VLOOKUP(D962,Bahan,6,FALSE)</f>
        <v>75</v>
      </c>
      <c r="I962" s="126">
        <f>G962*H962</f>
        <v>16125</v>
      </c>
    </row>
    <row r="963" spans="2:10" ht="15.95" customHeight="1" thickBot="1" x14ac:dyDescent="0.3">
      <c r="C963" s="132"/>
      <c r="D963" s="133"/>
      <c r="E963" s="134"/>
      <c r="F963" s="134"/>
      <c r="G963" s="135" t="s">
        <v>386</v>
      </c>
      <c r="H963" s="136"/>
      <c r="I963" s="137">
        <f>SUM(I959:I962)</f>
        <v>1456056.111111111</v>
      </c>
    </row>
    <row r="964" spans="2:10" ht="15.95" customHeight="1" thickBot="1" x14ac:dyDescent="0.3">
      <c r="C964" s="116" t="s">
        <v>387</v>
      </c>
      <c r="D964" s="117" t="s">
        <v>388</v>
      </c>
      <c r="E964" s="118"/>
      <c r="F964" s="118"/>
      <c r="G964" s="165"/>
      <c r="H964" s="144">
        <f>IF(AND(D964&lt;&gt;"",F964&lt;&gt;""),IF(C964="",IF(F964="OH",VLOOKUP(D964,[1]UPAH!$B$3:$G$32,7,0),VLOOKUP(D964,[1]BAHAN!$A$2:$D$3,4,0)),0),0)</f>
        <v>0</v>
      </c>
      <c r="I964" s="126">
        <f>G964*H964</f>
        <v>0</v>
      </c>
    </row>
    <row r="965" spans="2:10" ht="15.95" customHeight="1" thickBot="1" x14ac:dyDescent="0.3">
      <c r="C965" s="132"/>
      <c r="D965" s="133"/>
      <c r="E965" s="134"/>
      <c r="F965" s="134"/>
      <c r="G965" s="135" t="s">
        <v>389</v>
      </c>
      <c r="H965" s="136"/>
      <c r="I965" s="137">
        <f>I964</f>
        <v>0</v>
      </c>
    </row>
    <row r="966" spans="2:10" ht="15.95" customHeight="1" x14ac:dyDescent="0.25">
      <c r="C966" s="158" t="s">
        <v>390</v>
      </c>
      <c r="D966" s="159" t="s">
        <v>391</v>
      </c>
      <c r="E966" s="160"/>
      <c r="F966" s="160"/>
      <c r="G966" s="161"/>
      <c r="H966" s="162">
        <f>IF(AND(D966&lt;&gt;"",F966&lt;&gt;""),IF(C966="",IF(F966="OH",VLOOKUP(D966,[1]UPAH!$B$3:$G$32,7,0),VLOOKUP(D966,[1]BAHAN!$A$2:$D$3,4,0)),0),0)</f>
        <v>0</v>
      </c>
      <c r="I966" s="126">
        <f>SUM(I952:I965)/2</f>
        <v>1794681.111111111</v>
      </c>
    </row>
    <row r="967" spans="2:10" ht="15.95" customHeight="1" thickBot="1" x14ac:dyDescent="0.3">
      <c r="C967" s="147" t="s">
        <v>392</v>
      </c>
      <c r="D967" s="148" t="s">
        <v>393</v>
      </c>
      <c r="E967" s="149"/>
      <c r="F967" s="149"/>
      <c r="G967" s="164">
        <v>0.1</v>
      </c>
      <c r="H967" s="151"/>
      <c r="I967" s="146">
        <f>G967*I966</f>
        <v>179468.11111111112</v>
      </c>
    </row>
    <row r="968" spans="2:10" ht="15.95" customHeight="1" thickBot="1" x14ac:dyDescent="0.3">
      <c r="C968" s="111" t="s">
        <v>394</v>
      </c>
      <c r="D968" s="112" t="s">
        <v>395</v>
      </c>
      <c r="E968" s="134"/>
      <c r="F968" s="134"/>
      <c r="G968" s="156"/>
      <c r="H968" s="136">
        <f>IF(AND(D968&lt;&gt;"",F968&lt;&gt;""),IF(C968="",IF(F968="OH",VLOOKUP(D968,[1]UPAH!$B$3:$G$32,7,0),VLOOKUP(D968,[1]BAHAN!$A$2:$D$3,4,0)),0),0)</f>
        <v>0</v>
      </c>
      <c r="I968" s="137">
        <f>ROUNDDOWN(I966+I967,0)</f>
        <v>1974149</v>
      </c>
    </row>
    <row r="969" spans="2:10" ht="15.95" customHeight="1" x14ac:dyDescent="0.25">
      <c r="C969" s="109"/>
      <c r="D969" s="109"/>
      <c r="G969" s="157"/>
    </row>
    <row r="970" spans="2:10" ht="15.95" customHeight="1" thickBot="1" x14ac:dyDescent="0.3">
      <c r="B970" s="109" t="s">
        <v>555</v>
      </c>
      <c r="C970" s="104" t="s">
        <v>556</v>
      </c>
      <c r="G970" s="157"/>
      <c r="J970" s="110">
        <f>I988</f>
        <v>1989002</v>
      </c>
    </row>
    <row r="971" spans="2:10" ht="15.95" customHeight="1" thickBot="1" x14ac:dyDescent="0.3">
      <c r="C971" s="111" t="s">
        <v>328</v>
      </c>
      <c r="D971" s="112" t="s">
        <v>359</v>
      </c>
      <c r="E971" s="113" t="s">
        <v>360</v>
      </c>
      <c r="F971" s="113" t="s">
        <v>330</v>
      </c>
      <c r="G971" s="114" t="s">
        <v>361</v>
      </c>
      <c r="H971" s="112" t="s">
        <v>362</v>
      </c>
      <c r="I971" s="115" t="s">
        <v>363</v>
      </c>
    </row>
    <row r="972" spans="2:10" ht="15.95" customHeight="1" x14ac:dyDescent="0.25">
      <c r="C972" s="116" t="s">
        <v>364</v>
      </c>
      <c r="D972" s="117" t="s">
        <v>365</v>
      </c>
      <c r="E972" s="118"/>
      <c r="F972" s="118"/>
      <c r="G972" s="165"/>
      <c r="H972" s="144"/>
      <c r="I972" s="126"/>
    </row>
    <row r="973" spans="2:10" ht="15.95" customHeight="1" x14ac:dyDescent="0.25">
      <c r="C973" s="122"/>
      <c r="D973" s="117" t="s">
        <v>366</v>
      </c>
      <c r="E973" s="123" t="s">
        <v>367</v>
      </c>
      <c r="F973" s="123" t="s">
        <v>368</v>
      </c>
      <c r="G973" s="124">
        <v>2.1</v>
      </c>
      <c r="H973" s="125">
        <f>VLOOKUP(D973,Upah,8,FALSE)</f>
        <v>125000</v>
      </c>
      <c r="I973" s="126">
        <f>G973*H973</f>
        <v>262500</v>
      </c>
    </row>
    <row r="974" spans="2:10" ht="15.95" customHeight="1" x14ac:dyDescent="0.25">
      <c r="C974" s="122"/>
      <c r="D974" s="117" t="s">
        <v>505</v>
      </c>
      <c r="E974" s="123" t="s">
        <v>414</v>
      </c>
      <c r="F974" s="123" t="s">
        <v>368</v>
      </c>
      <c r="G974" s="124">
        <v>0.35</v>
      </c>
      <c r="H974" s="125">
        <f>VLOOKUP(D974,Upah,8,FALSE)</f>
        <v>150000</v>
      </c>
      <c r="I974" s="126">
        <f>G974*H974</f>
        <v>52500</v>
      </c>
    </row>
    <row r="975" spans="2:10" ht="15.95" customHeight="1" x14ac:dyDescent="0.25">
      <c r="C975" s="122"/>
      <c r="D975" s="117" t="s">
        <v>371</v>
      </c>
      <c r="E975" s="123" t="s">
        <v>372</v>
      </c>
      <c r="F975" s="123" t="s">
        <v>368</v>
      </c>
      <c r="G975" s="124">
        <v>3.5000000000000003E-2</v>
      </c>
      <c r="H975" s="125">
        <f>VLOOKUP(D975,Upah,8,FALSE)</f>
        <v>165000</v>
      </c>
      <c r="I975" s="126">
        <f>G975*H975</f>
        <v>5775.0000000000009</v>
      </c>
    </row>
    <row r="976" spans="2:10" ht="15.95" customHeight="1" thickBot="1" x14ac:dyDescent="0.3">
      <c r="C976" s="122"/>
      <c r="D976" s="117" t="s">
        <v>373</v>
      </c>
      <c r="E976" s="129" t="s">
        <v>374</v>
      </c>
      <c r="F976" s="123" t="s">
        <v>368</v>
      </c>
      <c r="G976" s="124">
        <v>0.105</v>
      </c>
      <c r="H976" s="125">
        <f>VLOOKUP(D976,Upah,8,FALSE)</f>
        <v>170000</v>
      </c>
      <c r="I976" s="126">
        <f>G976*H976</f>
        <v>17850</v>
      </c>
    </row>
    <row r="977" spans="2:10" ht="15.95" customHeight="1" thickBot="1" x14ac:dyDescent="0.3">
      <c r="C977" s="132"/>
      <c r="D977" s="133"/>
      <c r="E977" s="134"/>
      <c r="F977" s="134"/>
      <c r="G977" s="135" t="s">
        <v>375</v>
      </c>
      <c r="H977" s="136"/>
      <c r="I977" s="137">
        <f>SUM(I973:I976)</f>
        <v>338625</v>
      </c>
    </row>
    <row r="978" spans="2:10" ht="15.95" customHeight="1" x14ac:dyDescent="0.25">
      <c r="C978" s="116" t="s">
        <v>376</v>
      </c>
      <c r="D978" s="117" t="s">
        <v>377</v>
      </c>
      <c r="E978" s="118"/>
      <c r="F978" s="118"/>
      <c r="G978" s="165"/>
      <c r="H978" s="144"/>
      <c r="I978" s="126"/>
    </row>
    <row r="979" spans="2:10" ht="15.95" customHeight="1" x14ac:dyDescent="0.25">
      <c r="C979" s="122"/>
      <c r="D979" s="117" t="s">
        <v>380</v>
      </c>
      <c r="E979" s="118"/>
      <c r="F979" s="123" t="s">
        <v>133</v>
      </c>
      <c r="G979" s="124">
        <v>448</v>
      </c>
      <c r="H979" s="144">
        <f>VLOOKUP(D979,Bahan,6,FALSE)</f>
        <v>1880</v>
      </c>
      <c r="I979" s="126">
        <f>G979*H979</f>
        <v>842240</v>
      </c>
    </row>
    <row r="980" spans="2:10" ht="15.95" customHeight="1" x14ac:dyDescent="0.25">
      <c r="C980" s="122"/>
      <c r="D980" s="117" t="s">
        <v>1925</v>
      </c>
      <c r="E980" s="118"/>
      <c r="F980" s="123" t="s">
        <v>133</v>
      </c>
      <c r="G980" s="124">
        <v>667</v>
      </c>
      <c r="H980" s="144">
        <f>VLOOKUP(D980,Bahan,6,FALSE)</f>
        <v>250</v>
      </c>
      <c r="I980" s="126">
        <f>G980*H980</f>
        <v>166750</v>
      </c>
    </row>
    <row r="981" spans="2:10" ht="15.95" customHeight="1" x14ac:dyDescent="0.25">
      <c r="C981" s="122"/>
      <c r="D981" s="117" t="s">
        <v>1920</v>
      </c>
      <c r="E981" s="118"/>
      <c r="F981" s="123" t="s">
        <v>133</v>
      </c>
      <c r="G981" s="124">
        <v>1000</v>
      </c>
      <c r="H981" s="144">
        <f>VLOOKUP(D981,Bahan,6,FALSE)</f>
        <v>444.44444444444446</v>
      </c>
      <c r="I981" s="126">
        <f>G981*H981</f>
        <v>444444.44444444444</v>
      </c>
    </row>
    <row r="982" spans="2:10" ht="15.95" customHeight="1" thickBot="1" x14ac:dyDescent="0.3">
      <c r="C982" s="122"/>
      <c r="D982" s="117" t="s">
        <v>532</v>
      </c>
      <c r="E982" s="118"/>
      <c r="F982" s="123" t="s">
        <v>385</v>
      </c>
      <c r="G982" s="124">
        <v>215</v>
      </c>
      <c r="H982" s="144">
        <f>VLOOKUP(D982,Bahan,6,FALSE)</f>
        <v>75</v>
      </c>
      <c r="I982" s="126">
        <f>G982*H982</f>
        <v>16125</v>
      </c>
    </row>
    <row r="983" spans="2:10" ht="15.95" customHeight="1" thickBot="1" x14ac:dyDescent="0.3">
      <c r="C983" s="132"/>
      <c r="D983" s="133"/>
      <c r="E983" s="134"/>
      <c r="F983" s="134"/>
      <c r="G983" s="135" t="s">
        <v>386</v>
      </c>
      <c r="H983" s="136"/>
      <c r="I983" s="137">
        <f>SUM(I979:I982)</f>
        <v>1469559.4444444445</v>
      </c>
    </row>
    <row r="984" spans="2:10" ht="15.95" customHeight="1" thickBot="1" x14ac:dyDescent="0.3">
      <c r="C984" s="116" t="s">
        <v>387</v>
      </c>
      <c r="D984" s="117" t="s">
        <v>388</v>
      </c>
      <c r="E984" s="118"/>
      <c r="F984" s="118"/>
      <c r="G984" s="165"/>
      <c r="H984" s="144">
        <f>IF(AND(D984&lt;&gt;"",F984&lt;&gt;""),IF(C984="",IF(F984="OH",VLOOKUP(D984,[1]UPAH!$B$3:$G$32,7,0),VLOOKUP(D984,[1]BAHAN!$A$2:$D$3,4,0)),0),0)</f>
        <v>0</v>
      </c>
      <c r="I984" s="126">
        <f>G984*H984</f>
        <v>0</v>
      </c>
    </row>
    <row r="985" spans="2:10" ht="15.95" customHeight="1" thickBot="1" x14ac:dyDescent="0.3">
      <c r="C985" s="132"/>
      <c r="D985" s="133"/>
      <c r="E985" s="134"/>
      <c r="F985" s="134"/>
      <c r="G985" s="135" t="s">
        <v>389</v>
      </c>
      <c r="H985" s="136"/>
      <c r="I985" s="137">
        <f>I984</f>
        <v>0</v>
      </c>
    </row>
    <row r="986" spans="2:10" ht="15.95" customHeight="1" x14ac:dyDescent="0.25">
      <c r="C986" s="158" t="s">
        <v>390</v>
      </c>
      <c r="D986" s="159" t="s">
        <v>391</v>
      </c>
      <c r="E986" s="160"/>
      <c r="F986" s="160"/>
      <c r="G986" s="161"/>
      <c r="H986" s="162">
        <f>IF(AND(D986&lt;&gt;"",F986&lt;&gt;""),IF(C986="",IF(F986="OH",VLOOKUP(D986,[1]UPAH!$B$3:$G$32,7,0),VLOOKUP(D986,[1]BAHAN!$A$2:$D$3,4,0)),0),0)</f>
        <v>0</v>
      </c>
      <c r="I986" s="126">
        <f>SUM(I972:I985)/2</f>
        <v>1808184.4444444445</v>
      </c>
    </row>
    <row r="987" spans="2:10" ht="15.95" customHeight="1" thickBot="1" x14ac:dyDescent="0.3">
      <c r="C987" s="147" t="s">
        <v>392</v>
      </c>
      <c r="D987" s="148" t="s">
        <v>393</v>
      </c>
      <c r="E987" s="149"/>
      <c r="F987" s="149"/>
      <c r="G987" s="164">
        <v>0.1</v>
      </c>
      <c r="H987" s="151"/>
      <c r="I987" s="146">
        <f>G987*I986</f>
        <v>180818.44444444447</v>
      </c>
    </row>
    <row r="988" spans="2:10" ht="15.95" customHeight="1" thickBot="1" x14ac:dyDescent="0.3">
      <c r="C988" s="111" t="s">
        <v>394</v>
      </c>
      <c r="D988" s="112" t="s">
        <v>395</v>
      </c>
      <c r="E988" s="134"/>
      <c r="F988" s="134"/>
      <c r="G988" s="156"/>
      <c r="H988" s="136">
        <f>IF(AND(D988&lt;&gt;"",F988&lt;&gt;""),IF(C988="",IF(F988="OH",VLOOKUP(D988,[1]UPAH!$B$3:$G$32,7,0),VLOOKUP(D988,[1]BAHAN!$A$2:$D$3,4,0)),0),0)</f>
        <v>0</v>
      </c>
      <c r="I988" s="137">
        <f>ROUNDDOWN(I986+I987,0)</f>
        <v>1989002</v>
      </c>
    </row>
    <row r="989" spans="2:10" ht="15.95" customHeight="1" x14ac:dyDescent="0.25">
      <c r="C989" s="109"/>
      <c r="D989" s="109"/>
      <c r="G989" s="157"/>
      <c r="H989" s="166"/>
      <c r="I989" s="110"/>
    </row>
    <row r="990" spans="2:10" ht="15.95" customHeight="1" thickBot="1" x14ac:dyDescent="0.3">
      <c r="B990" s="109" t="s">
        <v>557</v>
      </c>
      <c r="C990" s="174" t="s">
        <v>558</v>
      </c>
      <c r="D990" s="109"/>
      <c r="G990" s="157"/>
      <c r="H990" s="166"/>
      <c r="I990" s="110"/>
      <c r="J990" s="110">
        <f>I1009</f>
        <v>2268776</v>
      </c>
    </row>
    <row r="991" spans="2:10" ht="15.95" customHeight="1" thickBot="1" x14ac:dyDescent="0.3">
      <c r="C991" s="111" t="s">
        <v>328</v>
      </c>
      <c r="D991" s="112" t="s">
        <v>359</v>
      </c>
      <c r="E991" s="113" t="s">
        <v>360</v>
      </c>
      <c r="F991" s="113" t="s">
        <v>330</v>
      </c>
      <c r="G991" s="114" t="s">
        <v>361</v>
      </c>
      <c r="H991" s="112" t="s">
        <v>362</v>
      </c>
      <c r="I991" s="115" t="s">
        <v>363</v>
      </c>
    </row>
    <row r="992" spans="2:10" ht="15.95" customHeight="1" x14ac:dyDescent="0.25">
      <c r="C992" s="116" t="s">
        <v>364</v>
      </c>
      <c r="D992" s="117" t="s">
        <v>365</v>
      </c>
      <c r="E992" s="118"/>
      <c r="F992" s="118"/>
      <c r="G992" s="165"/>
      <c r="H992" s="144"/>
      <c r="I992" s="126"/>
    </row>
    <row r="993" spans="3:9" ht="15.95" customHeight="1" x14ac:dyDescent="0.25">
      <c r="C993" s="122"/>
      <c r="D993" s="117" t="s">
        <v>366</v>
      </c>
      <c r="E993" s="123" t="s">
        <v>367</v>
      </c>
      <c r="F993" s="123" t="s">
        <v>368</v>
      </c>
      <c r="G993" s="124">
        <v>2.1</v>
      </c>
      <c r="H993" s="125">
        <f>VLOOKUP(D993,Upah,8,FALSE)</f>
        <v>125000</v>
      </c>
      <c r="I993" s="126">
        <f>G993*H993</f>
        <v>262500</v>
      </c>
    </row>
    <row r="994" spans="3:9" ht="15.95" customHeight="1" x14ac:dyDescent="0.25">
      <c r="C994" s="122"/>
      <c r="D994" s="117" t="s">
        <v>505</v>
      </c>
      <c r="E994" s="123" t="s">
        <v>414</v>
      </c>
      <c r="F994" s="123" t="s">
        <v>368</v>
      </c>
      <c r="G994" s="124">
        <v>0.35</v>
      </c>
      <c r="H994" s="125">
        <f>VLOOKUP(D994,Upah,8,FALSE)</f>
        <v>150000</v>
      </c>
      <c r="I994" s="126">
        <f>G994*H994</f>
        <v>52500</v>
      </c>
    </row>
    <row r="995" spans="3:9" ht="15.95" customHeight="1" x14ac:dyDescent="0.25">
      <c r="C995" s="122"/>
      <c r="D995" s="117" t="s">
        <v>371</v>
      </c>
      <c r="E995" s="123" t="s">
        <v>372</v>
      </c>
      <c r="F995" s="123" t="s">
        <v>368</v>
      </c>
      <c r="G995" s="124">
        <v>3.5000000000000003E-2</v>
      </c>
      <c r="H995" s="125">
        <f>VLOOKUP(D995,Upah,8,FALSE)</f>
        <v>165000</v>
      </c>
      <c r="I995" s="126">
        <f>G995*H995</f>
        <v>5775.0000000000009</v>
      </c>
    </row>
    <row r="996" spans="3:9" ht="15.95" customHeight="1" thickBot="1" x14ac:dyDescent="0.3">
      <c r="C996" s="122"/>
      <c r="D996" s="117" t="s">
        <v>373</v>
      </c>
      <c r="E996" s="123" t="s">
        <v>374</v>
      </c>
      <c r="F996" s="123" t="s">
        <v>368</v>
      </c>
      <c r="G996" s="124">
        <v>0.105</v>
      </c>
      <c r="H996" s="125">
        <f>VLOOKUP(D996,Upah,8,FALSE)</f>
        <v>170000</v>
      </c>
      <c r="I996" s="126">
        <f>G996*H996</f>
        <v>17850</v>
      </c>
    </row>
    <row r="997" spans="3:9" ht="15.95" customHeight="1" thickBot="1" x14ac:dyDescent="0.3">
      <c r="C997" s="132"/>
      <c r="D997" s="133"/>
      <c r="E997" s="134"/>
      <c r="F997" s="134"/>
      <c r="G997" s="135" t="s">
        <v>375</v>
      </c>
      <c r="H997" s="136"/>
      <c r="I997" s="137">
        <f>SUM(I993:I996)</f>
        <v>338625</v>
      </c>
    </row>
    <row r="998" spans="3:9" ht="15.95" customHeight="1" x14ac:dyDescent="0.25">
      <c r="C998" s="116" t="s">
        <v>376</v>
      </c>
      <c r="D998" s="117" t="s">
        <v>377</v>
      </c>
      <c r="E998" s="118"/>
      <c r="F998" s="118"/>
      <c r="G998" s="165"/>
      <c r="H998" s="144"/>
      <c r="I998" s="126"/>
    </row>
    <row r="999" spans="3:9" ht="15.95" customHeight="1" x14ac:dyDescent="0.25">
      <c r="C999" s="122"/>
      <c r="D999" s="117" t="s">
        <v>380</v>
      </c>
      <c r="E999" s="118"/>
      <c r="F999" s="123" t="s">
        <v>133</v>
      </c>
      <c r="G999" s="124">
        <v>448</v>
      </c>
      <c r="H999" s="144">
        <f>VLOOKUP(D999,Bahan,6,FALSE)</f>
        <v>1880</v>
      </c>
      <c r="I999" s="126">
        <f>G999*H999</f>
        <v>842240</v>
      </c>
    </row>
    <row r="1000" spans="3:9" ht="15.95" customHeight="1" x14ac:dyDescent="0.25">
      <c r="C1000" s="122"/>
      <c r="D1000" s="117" t="s">
        <v>1925</v>
      </c>
      <c r="E1000" s="118"/>
      <c r="F1000" s="123" t="s">
        <v>133</v>
      </c>
      <c r="G1000" s="124">
        <v>667</v>
      </c>
      <c r="H1000" s="144">
        <f>VLOOKUP(D1000,Bahan,6,FALSE)</f>
        <v>250</v>
      </c>
      <c r="I1000" s="126">
        <f>G1000*H1000</f>
        <v>166750</v>
      </c>
    </row>
    <row r="1001" spans="3:9" ht="15.95" customHeight="1" x14ac:dyDescent="0.25">
      <c r="C1001" s="122"/>
      <c r="D1001" s="117" t="s">
        <v>1920</v>
      </c>
      <c r="E1001" s="118"/>
      <c r="F1001" s="123" t="s">
        <v>133</v>
      </c>
      <c r="G1001" s="124">
        <v>1000</v>
      </c>
      <c r="H1001" s="144">
        <f>VLOOKUP(D1001,Bahan,6,FALSE)</f>
        <v>444.44444444444446</v>
      </c>
      <c r="I1001" s="126">
        <f>G1001*H1001</f>
        <v>444444.44444444444</v>
      </c>
    </row>
    <row r="1002" spans="3:9" ht="15.95" customHeight="1" x14ac:dyDescent="0.25">
      <c r="C1002" s="122"/>
      <c r="D1002" s="117" t="s">
        <v>559</v>
      </c>
      <c r="E1002" s="118"/>
      <c r="F1002" s="123" t="s">
        <v>385</v>
      </c>
      <c r="G1002" s="124">
        <v>4.5</v>
      </c>
      <c r="H1002" s="144">
        <f>VLOOKUP(D1002,Bahan,6,FALSE)</f>
        <v>56520</v>
      </c>
      <c r="I1002" s="126">
        <f>G1002*H1002</f>
        <v>254340</v>
      </c>
    </row>
    <row r="1003" spans="3:9" ht="15.95" customHeight="1" thickBot="1" x14ac:dyDescent="0.3">
      <c r="C1003" s="122"/>
      <c r="D1003" s="117" t="s">
        <v>532</v>
      </c>
      <c r="E1003" s="118"/>
      <c r="F1003" s="123" t="s">
        <v>385</v>
      </c>
      <c r="G1003" s="124">
        <v>215</v>
      </c>
      <c r="H1003" s="144">
        <f>VLOOKUP(D1003,Bahan,6,FALSE)</f>
        <v>75</v>
      </c>
      <c r="I1003" s="126">
        <f>G1003*H1003</f>
        <v>16125</v>
      </c>
    </row>
    <row r="1004" spans="3:9" ht="15.95" customHeight="1" thickBot="1" x14ac:dyDescent="0.3">
      <c r="C1004" s="132"/>
      <c r="D1004" s="133"/>
      <c r="E1004" s="134"/>
      <c r="F1004" s="134"/>
      <c r="G1004" s="135" t="s">
        <v>386</v>
      </c>
      <c r="H1004" s="136"/>
      <c r="I1004" s="137">
        <f>SUM(I999:I1003)</f>
        <v>1723899.4444444445</v>
      </c>
    </row>
    <row r="1005" spans="3:9" ht="15.95" customHeight="1" thickBot="1" x14ac:dyDescent="0.3">
      <c r="C1005" s="116" t="s">
        <v>387</v>
      </c>
      <c r="D1005" s="117" t="s">
        <v>388</v>
      </c>
      <c r="E1005" s="118"/>
      <c r="F1005" s="118"/>
      <c r="G1005" s="165"/>
      <c r="H1005" s="144">
        <f>IF(AND(D1005&lt;&gt;"",F1005&lt;&gt;""),IF(C1005="",IF(F1005="OH",VLOOKUP(D1005,[1]UPAH!$B$3:$G$32,7,0),VLOOKUP(D1005,[1]BAHAN!$A$2:$D$3,4,0)),0),0)</f>
        <v>0</v>
      </c>
      <c r="I1005" s="126">
        <f>G1005*H1005</f>
        <v>0</v>
      </c>
    </row>
    <row r="1006" spans="3:9" ht="15.95" customHeight="1" thickBot="1" x14ac:dyDescent="0.3">
      <c r="C1006" s="132"/>
      <c r="D1006" s="133"/>
      <c r="E1006" s="134"/>
      <c r="F1006" s="134"/>
      <c r="G1006" s="135" t="s">
        <v>389</v>
      </c>
      <c r="H1006" s="136"/>
      <c r="I1006" s="137">
        <f>I1005</f>
        <v>0</v>
      </c>
    </row>
    <row r="1007" spans="3:9" ht="15.95" customHeight="1" x14ac:dyDescent="0.25">
      <c r="C1007" s="158" t="s">
        <v>390</v>
      </c>
      <c r="D1007" s="159" t="s">
        <v>391</v>
      </c>
      <c r="E1007" s="160"/>
      <c r="F1007" s="160"/>
      <c r="G1007" s="161"/>
      <c r="H1007" s="162">
        <f>IF(AND(D1007&lt;&gt;"",F1007&lt;&gt;""),IF(C1007="",IF(F1007="OH",VLOOKUP(D1007,[1]UPAH!$B$3:$G$32,7,0),VLOOKUP(D1007,[1]BAHAN!$A$2:$D$3,4,0)),0),0)</f>
        <v>0</v>
      </c>
      <c r="I1007" s="126">
        <f>SUM(I992:I1006)/2</f>
        <v>2062524.4444444445</v>
      </c>
    </row>
    <row r="1008" spans="3:9" ht="15.95" customHeight="1" thickBot="1" x14ac:dyDescent="0.3">
      <c r="C1008" s="147" t="s">
        <v>392</v>
      </c>
      <c r="D1008" s="148" t="s">
        <v>393</v>
      </c>
      <c r="E1008" s="149"/>
      <c r="F1008" s="149"/>
      <c r="G1008" s="164">
        <v>0.1</v>
      </c>
      <c r="H1008" s="151"/>
      <c r="I1008" s="146">
        <f>G1008*I1007</f>
        <v>206252.44444444447</v>
      </c>
    </row>
    <row r="1009" spans="2:10" ht="15.95" customHeight="1" thickBot="1" x14ac:dyDescent="0.3">
      <c r="C1009" s="111" t="s">
        <v>394</v>
      </c>
      <c r="D1009" s="112" t="s">
        <v>395</v>
      </c>
      <c r="E1009" s="134"/>
      <c r="F1009" s="134"/>
      <c r="G1009" s="156"/>
      <c r="H1009" s="136">
        <f>IF(AND(D1009&lt;&gt;"",F1009&lt;&gt;""),IF(C1009="",IF(F1009="OH",VLOOKUP(D1009,[1]UPAH!$B$3:$G$32,7,0),VLOOKUP(D1009,[1]BAHAN!$A$2:$D$3,4,0)),0),0)</f>
        <v>0</v>
      </c>
      <c r="I1009" s="137">
        <f>ROUNDDOWN(I1007+I1008,0)</f>
        <v>2268776</v>
      </c>
    </row>
    <row r="1010" spans="2:10" ht="15.95" customHeight="1" x14ac:dyDescent="0.25">
      <c r="C1010" s="109"/>
      <c r="D1010" s="109"/>
      <c r="G1010" s="157"/>
      <c r="H1010" s="166"/>
      <c r="I1010" s="110"/>
    </row>
    <row r="1011" spans="2:10" ht="15.95" customHeight="1" x14ac:dyDescent="0.25">
      <c r="C1011" s="175" t="s">
        <v>560</v>
      </c>
      <c r="D1011" s="109"/>
      <c r="G1011" s="157"/>
      <c r="H1011" s="166"/>
      <c r="I1011" s="110"/>
    </row>
    <row r="1012" spans="2:10" ht="15.95" customHeight="1" x14ac:dyDescent="0.25">
      <c r="C1012" s="109"/>
      <c r="D1012" s="109"/>
      <c r="G1012" s="157"/>
      <c r="H1012" s="166"/>
      <c r="I1012" s="110"/>
    </row>
    <row r="1013" spans="2:10" ht="15.95" customHeight="1" thickBot="1" x14ac:dyDescent="0.3">
      <c r="B1013" s="109" t="s">
        <v>561</v>
      </c>
      <c r="C1013" s="104" t="s">
        <v>562</v>
      </c>
      <c r="G1013" s="157"/>
      <c r="J1013" s="110">
        <f>I1031</f>
        <v>1982051</v>
      </c>
    </row>
    <row r="1014" spans="2:10" ht="15.95" customHeight="1" thickBot="1" x14ac:dyDescent="0.3">
      <c r="C1014" s="111" t="s">
        <v>328</v>
      </c>
      <c r="D1014" s="112" t="s">
        <v>359</v>
      </c>
      <c r="E1014" s="113" t="s">
        <v>360</v>
      </c>
      <c r="F1014" s="113" t="s">
        <v>330</v>
      </c>
      <c r="G1014" s="114" t="s">
        <v>361</v>
      </c>
      <c r="H1014" s="112" t="s">
        <v>362</v>
      </c>
      <c r="I1014" s="115" t="s">
        <v>363</v>
      </c>
    </row>
    <row r="1015" spans="2:10" ht="15.95" customHeight="1" x14ac:dyDescent="0.25">
      <c r="C1015" s="116" t="s">
        <v>364</v>
      </c>
      <c r="D1015" s="117" t="s">
        <v>365</v>
      </c>
      <c r="E1015" s="118"/>
      <c r="F1015" s="118"/>
      <c r="G1015" s="165"/>
      <c r="H1015" s="144"/>
      <c r="I1015" s="126"/>
    </row>
    <row r="1016" spans="2:10" ht="15.95" customHeight="1" x14ac:dyDescent="0.25">
      <c r="C1016" s="122"/>
      <c r="D1016" s="117" t="s">
        <v>366</v>
      </c>
      <c r="E1016" s="123" t="s">
        <v>367</v>
      </c>
      <c r="F1016" s="123" t="s">
        <v>368</v>
      </c>
      <c r="G1016" s="124">
        <v>2.1</v>
      </c>
      <c r="H1016" s="125">
        <f>VLOOKUP(D1016,Upah,8,FALSE)</f>
        <v>125000</v>
      </c>
      <c r="I1016" s="126">
        <f>G1016*H1016</f>
        <v>262500</v>
      </c>
    </row>
    <row r="1017" spans="2:10" ht="15.95" customHeight="1" x14ac:dyDescent="0.25">
      <c r="C1017" s="122"/>
      <c r="D1017" s="117" t="s">
        <v>505</v>
      </c>
      <c r="E1017" s="123" t="s">
        <v>414</v>
      </c>
      <c r="F1017" s="123" t="s">
        <v>368</v>
      </c>
      <c r="G1017" s="124">
        <v>0.35</v>
      </c>
      <c r="H1017" s="125">
        <f>VLOOKUP(D1017,Upah,8,FALSE)</f>
        <v>150000</v>
      </c>
      <c r="I1017" s="126">
        <f>G1017*H1017</f>
        <v>52500</v>
      </c>
    </row>
    <row r="1018" spans="2:10" ht="15.95" customHeight="1" x14ac:dyDescent="0.25">
      <c r="C1018" s="122"/>
      <c r="D1018" s="117" t="s">
        <v>371</v>
      </c>
      <c r="E1018" s="123" t="s">
        <v>372</v>
      </c>
      <c r="F1018" s="123" t="s">
        <v>368</v>
      </c>
      <c r="G1018" s="124">
        <v>3.5000000000000003E-2</v>
      </c>
      <c r="H1018" s="125">
        <f>VLOOKUP(D1018,Upah,8,FALSE)</f>
        <v>165000</v>
      </c>
      <c r="I1018" s="126">
        <f>G1018*H1018</f>
        <v>5775.0000000000009</v>
      </c>
    </row>
    <row r="1019" spans="2:10" ht="15.95" customHeight="1" thickBot="1" x14ac:dyDescent="0.3">
      <c r="C1019" s="122"/>
      <c r="D1019" s="117" t="s">
        <v>373</v>
      </c>
      <c r="E1019" s="123" t="s">
        <v>374</v>
      </c>
      <c r="F1019" s="123" t="s">
        <v>368</v>
      </c>
      <c r="G1019" s="124">
        <v>0.105</v>
      </c>
      <c r="H1019" s="125">
        <f>VLOOKUP(D1019,Upah,8,FALSE)</f>
        <v>170000</v>
      </c>
      <c r="I1019" s="126">
        <f>G1019*H1019</f>
        <v>17850</v>
      </c>
    </row>
    <row r="1020" spans="2:10" ht="15.95" customHeight="1" thickBot="1" x14ac:dyDescent="0.3">
      <c r="C1020" s="132"/>
      <c r="D1020" s="133"/>
      <c r="E1020" s="134"/>
      <c r="F1020" s="134"/>
      <c r="G1020" s="135" t="s">
        <v>375</v>
      </c>
      <c r="H1020" s="136"/>
      <c r="I1020" s="137">
        <f>SUM(I1016:I1019)</f>
        <v>338625</v>
      </c>
    </row>
    <row r="1021" spans="2:10" ht="15.95" customHeight="1" x14ac:dyDescent="0.25">
      <c r="C1021" s="116" t="s">
        <v>376</v>
      </c>
      <c r="D1021" s="117" t="s">
        <v>377</v>
      </c>
      <c r="E1021" s="118"/>
      <c r="F1021" s="118"/>
      <c r="G1021" s="165"/>
      <c r="H1021" s="144"/>
      <c r="I1021" s="126"/>
    </row>
    <row r="1022" spans="2:10" ht="15.95" customHeight="1" x14ac:dyDescent="0.25">
      <c r="C1022" s="122"/>
      <c r="D1022" s="117" t="s">
        <v>380</v>
      </c>
      <c r="E1022" s="118"/>
      <c r="F1022" s="123" t="s">
        <v>133</v>
      </c>
      <c r="G1022" s="124">
        <v>400</v>
      </c>
      <c r="H1022" s="144">
        <f>VLOOKUP(D1022,Bahan,6,FALSE)</f>
        <v>1880</v>
      </c>
      <c r="I1022" s="126">
        <f>G1022*H1022</f>
        <v>752000</v>
      </c>
    </row>
    <row r="1023" spans="2:10" ht="15.95" customHeight="1" x14ac:dyDescent="0.25">
      <c r="C1023" s="122"/>
      <c r="D1023" s="117" t="s">
        <v>1924</v>
      </c>
      <c r="E1023" s="118"/>
      <c r="F1023" s="123" t="s">
        <v>158</v>
      </c>
      <c r="G1023" s="124">
        <v>0.48</v>
      </c>
      <c r="H1023" s="144">
        <f>VLOOKUP(D1023,Bahan,6,FALSE)</f>
        <v>350000</v>
      </c>
      <c r="I1023" s="126">
        <f>G1023*H1023</f>
        <v>168000</v>
      </c>
    </row>
    <row r="1024" spans="2:10" ht="15.95" customHeight="1" x14ac:dyDescent="0.25">
      <c r="C1024" s="122"/>
      <c r="D1024" s="117" t="s">
        <v>1921</v>
      </c>
      <c r="E1024" s="118"/>
      <c r="F1024" s="123" t="s">
        <v>158</v>
      </c>
      <c r="G1024" s="124">
        <v>0.8</v>
      </c>
      <c r="H1024" s="144">
        <f>VLOOKUP(D1024,Bahan,6,FALSE)</f>
        <v>600000</v>
      </c>
      <c r="I1024" s="126">
        <f>G1024*H1024</f>
        <v>480000</v>
      </c>
    </row>
    <row r="1025" spans="2:10" ht="15.95" customHeight="1" thickBot="1" x14ac:dyDescent="0.3">
      <c r="C1025" s="122"/>
      <c r="D1025" s="117" t="s">
        <v>563</v>
      </c>
      <c r="E1025" s="118"/>
      <c r="F1025" s="123" t="s">
        <v>133</v>
      </c>
      <c r="G1025" s="124">
        <v>1.2</v>
      </c>
      <c r="H1025" s="144">
        <f>VLOOKUP(D1025,Bahan,6,FALSE)</f>
        <v>52700</v>
      </c>
      <c r="I1025" s="126">
        <f>G1025*H1025</f>
        <v>63240</v>
      </c>
    </row>
    <row r="1026" spans="2:10" ht="15.95" customHeight="1" thickBot="1" x14ac:dyDescent="0.3">
      <c r="C1026" s="132"/>
      <c r="D1026" s="133"/>
      <c r="E1026" s="134"/>
      <c r="F1026" s="134"/>
      <c r="G1026" s="135" t="s">
        <v>386</v>
      </c>
      <c r="H1026" s="136"/>
      <c r="I1026" s="137">
        <f>SUM(I1022:I1025)</f>
        <v>1463240</v>
      </c>
    </row>
    <row r="1027" spans="2:10" ht="15.95" customHeight="1" thickBot="1" x14ac:dyDescent="0.3">
      <c r="C1027" s="116" t="s">
        <v>387</v>
      </c>
      <c r="D1027" s="117" t="s">
        <v>388</v>
      </c>
      <c r="E1027" s="118"/>
      <c r="F1027" s="118"/>
      <c r="G1027" s="165"/>
      <c r="H1027" s="144">
        <f>IF(AND(D1027&lt;&gt;"",F1027&lt;&gt;""),IF(C1027="",IF(F1027="OH",VLOOKUP(D1027,[1]UPAH!$B$3:$G$32,7,0),VLOOKUP(D1027,[1]BAHAN!$A$2:$D$3,4,0)),0),0)</f>
        <v>0</v>
      </c>
      <c r="I1027" s="126">
        <f>G1027*H1027</f>
        <v>0</v>
      </c>
    </row>
    <row r="1028" spans="2:10" ht="15.95" customHeight="1" thickBot="1" x14ac:dyDescent="0.3">
      <c r="C1028" s="132"/>
      <c r="D1028" s="133"/>
      <c r="E1028" s="134"/>
      <c r="F1028" s="134"/>
      <c r="G1028" s="135" t="s">
        <v>389</v>
      </c>
      <c r="H1028" s="136"/>
      <c r="I1028" s="137">
        <f>I1027</f>
        <v>0</v>
      </c>
    </row>
    <row r="1029" spans="2:10" ht="15.95" customHeight="1" x14ac:dyDescent="0.25">
      <c r="C1029" s="158" t="s">
        <v>390</v>
      </c>
      <c r="D1029" s="159" t="s">
        <v>391</v>
      </c>
      <c r="E1029" s="160"/>
      <c r="F1029" s="160"/>
      <c r="G1029" s="161"/>
      <c r="H1029" s="162">
        <f>IF(AND(D1029&lt;&gt;"",F1029&lt;&gt;""),IF(C1029="",IF(F1029="OH",VLOOKUP(D1029,[1]UPAH!$B$3:$G$32,7,0),VLOOKUP(D1029,[1]BAHAN!$A$2:$D$3,4,0)),0),0)</f>
        <v>0</v>
      </c>
      <c r="I1029" s="126">
        <f>SUM(I1015:I1028)/2</f>
        <v>1801865</v>
      </c>
    </row>
    <row r="1030" spans="2:10" ht="15.95" customHeight="1" thickBot="1" x14ac:dyDescent="0.3">
      <c r="C1030" s="147" t="s">
        <v>392</v>
      </c>
      <c r="D1030" s="148" t="s">
        <v>393</v>
      </c>
      <c r="E1030" s="149"/>
      <c r="F1030" s="149"/>
      <c r="G1030" s="164">
        <v>0.1</v>
      </c>
      <c r="H1030" s="151"/>
      <c r="I1030" s="146">
        <f>G1030*I1029</f>
        <v>180186.5</v>
      </c>
    </row>
    <row r="1031" spans="2:10" ht="15.95" customHeight="1" thickBot="1" x14ac:dyDescent="0.3">
      <c r="C1031" s="111" t="s">
        <v>394</v>
      </c>
      <c r="D1031" s="112" t="s">
        <v>395</v>
      </c>
      <c r="E1031" s="134"/>
      <c r="F1031" s="134"/>
      <c r="G1031" s="156"/>
      <c r="H1031" s="136">
        <f>IF(AND(D1031&lt;&gt;"",F1031&lt;&gt;""),IF(C1031="",IF(F1031="OH",VLOOKUP(D1031,[1]UPAH!$B$3:$G$32,7,0),VLOOKUP(D1031,[1]BAHAN!$A$2:$D$3,4,0)),0),0)</f>
        <v>0</v>
      </c>
      <c r="I1031" s="137">
        <f>ROUNDDOWN(I1029+I1030,0)</f>
        <v>1982051</v>
      </c>
    </row>
    <row r="1032" spans="2:10" ht="15.95" customHeight="1" x14ac:dyDescent="0.25">
      <c r="C1032" s="109"/>
      <c r="D1032" s="109"/>
      <c r="G1032" s="157"/>
    </row>
    <row r="1033" spans="2:10" ht="15.95" customHeight="1" thickBot="1" x14ac:dyDescent="0.3">
      <c r="B1033" s="109" t="s">
        <v>564</v>
      </c>
      <c r="C1033" s="104" t="s">
        <v>565</v>
      </c>
      <c r="G1033" s="157"/>
      <c r="J1033" s="110">
        <f>I1048</f>
        <v>121489</v>
      </c>
    </row>
    <row r="1034" spans="2:10" ht="15.95" customHeight="1" thickBot="1" x14ac:dyDescent="0.3">
      <c r="C1034" s="111" t="s">
        <v>328</v>
      </c>
      <c r="D1034" s="112" t="s">
        <v>359</v>
      </c>
      <c r="E1034" s="113" t="s">
        <v>360</v>
      </c>
      <c r="F1034" s="113" t="s">
        <v>330</v>
      </c>
      <c r="G1034" s="114" t="s">
        <v>361</v>
      </c>
      <c r="H1034" s="112" t="s">
        <v>362</v>
      </c>
      <c r="I1034" s="115" t="s">
        <v>363</v>
      </c>
    </row>
    <row r="1035" spans="2:10" ht="15.95" customHeight="1" x14ac:dyDescent="0.25">
      <c r="C1035" s="116" t="s">
        <v>364</v>
      </c>
      <c r="D1035" s="117" t="s">
        <v>365</v>
      </c>
      <c r="E1035" s="118"/>
      <c r="F1035" s="118"/>
      <c r="G1035" s="165"/>
      <c r="H1035" s="144"/>
      <c r="I1035" s="126"/>
    </row>
    <row r="1036" spans="2:10" ht="15.95" customHeight="1" x14ac:dyDescent="0.25">
      <c r="C1036" s="122"/>
      <c r="D1036" s="117" t="s">
        <v>366</v>
      </c>
      <c r="E1036" s="123" t="s">
        <v>367</v>
      </c>
      <c r="F1036" s="123" t="s">
        <v>368</v>
      </c>
      <c r="G1036" s="124">
        <v>0.06</v>
      </c>
      <c r="H1036" s="125">
        <f>VLOOKUP(D1036,Upah,8,FALSE)</f>
        <v>125000</v>
      </c>
      <c r="I1036" s="126">
        <f>G1036*H1036</f>
        <v>7500</v>
      </c>
    </row>
    <row r="1037" spans="2:10" ht="15.95" customHeight="1" x14ac:dyDescent="0.25">
      <c r="C1037" s="122"/>
      <c r="D1037" s="117" t="s">
        <v>566</v>
      </c>
      <c r="E1037" s="123" t="s">
        <v>567</v>
      </c>
      <c r="F1037" s="123" t="s">
        <v>368</v>
      </c>
      <c r="G1037" s="124">
        <v>0.03</v>
      </c>
      <c r="H1037" s="125">
        <f>VLOOKUP(D1037,Upah,8,FALSE)</f>
        <v>150000</v>
      </c>
      <c r="I1037" s="126">
        <f>G1037*H1037</f>
        <v>4500</v>
      </c>
    </row>
    <row r="1038" spans="2:10" ht="15.95" customHeight="1" x14ac:dyDescent="0.25">
      <c r="C1038" s="122"/>
      <c r="D1038" s="117" t="s">
        <v>371</v>
      </c>
      <c r="E1038" s="123" t="s">
        <v>372</v>
      </c>
      <c r="F1038" s="123" t="s">
        <v>368</v>
      </c>
      <c r="G1038" s="124">
        <v>3.0000000000000001E-3</v>
      </c>
      <c r="H1038" s="125">
        <f>VLOOKUP(D1038,Upah,8,FALSE)</f>
        <v>165000</v>
      </c>
      <c r="I1038" s="126">
        <f>G1038*H1038</f>
        <v>495</v>
      </c>
    </row>
    <row r="1039" spans="2:10" ht="15.95" customHeight="1" thickBot="1" x14ac:dyDescent="0.3">
      <c r="C1039" s="122"/>
      <c r="D1039" s="117" t="s">
        <v>373</v>
      </c>
      <c r="E1039" s="123" t="s">
        <v>374</v>
      </c>
      <c r="F1039" s="123" t="s">
        <v>368</v>
      </c>
      <c r="G1039" s="124">
        <v>3.0000000000000001E-3</v>
      </c>
      <c r="H1039" s="125">
        <f>VLOOKUP(D1039,Upah,8,FALSE)</f>
        <v>170000</v>
      </c>
      <c r="I1039" s="126">
        <f>G1039*H1039</f>
        <v>510</v>
      </c>
    </row>
    <row r="1040" spans="2:10" ht="15.95" customHeight="1" thickBot="1" x14ac:dyDescent="0.3">
      <c r="C1040" s="132"/>
      <c r="D1040" s="133"/>
      <c r="E1040" s="134"/>
      <c r="F1040" s="134"/>
      <c r="G1040" s="135" t="s">
        <v>375</v>
      </c>
      <c r="H1040" s="136"/>
      <c r="I1040" s="137">
        <f>SUM(I1036:I1039)</f>
        <v>13005</v>
      </c>
    </row>
    <row r="1041" spans="2:10" ht="15.95" customHeight="1" x14ac:dyDescent="0.25">
      <c r="C1041" s="116" t="s">
        <v>376</v>
      </c>
      <c r="D1041" s="117" t="s">
        <v>377</v>
      </c>
      <c r="E1041" s="118"/>
      <c r="F1041" s="118"/>
      <c r="G1041" s="165"/>
      <c r="H1041" s="144"/>
      <c r="I1041" s="126"/>
    </row>
    <row r="1042" spans="2:10" ht="15.95" customHeight="1" thickBot="1" x14ac:dyDescent="0.3">
      <c r="C1042" s="122"/>
      <c r="D1042" s="117" t="s">
        <v>568</v>
      </c>
      <c r="E1042" s="118"/>
      <c r="F1042" s="123" t="s">
        <v>127</v>
      </c>
      <c r="G1042" s="124">
        <v>1.05</v>
      </c>
      <c r="H1042" s="144">
        <f>VLOOKUP(D1042,Bahan,6,FALSE)</f>
        <v>92800</v>
      </c>
      <c r="I1042" s="126">
        <f>G1042*H1042</f>
        <v>97440</v>
      </c>
    </row>
    <row r="1043" spans="2:10" ht="15.95" customHeight="1" thickBot="1" x14ac:dyDescent="0.3">
      <c r="C1043" s="132"/>
      <c r="D1043" s="133"/>
      <c r="E1043" s="134"/>
      <c r="F1043" s="134"/>
      <c r="G1043" s="135" t="s">
        <v>386</v>
      </c>
      <c r="H1043" s="136"/>
      <c r="I1043" s="137">
        <f>SUM(I1042)</f>
        <v>97440</v>
      </c>
    </row>
    <row r="1044" spans="2:10" ht="15.95" customHeight="1" thickBot="1" x14ac:dyDescent="0.3">
      <c r="C1044" s="116" t="s">
        <v>387</v>
      </c>
      <c r="D1044" s="117" t="s">
        <v>388</v>
      </c>
      <c r="E1044" s="118"/>
      <c r="F1044" s="118"/>
      <c r="G1044" s="165"/>
      <c r="H1044" s="144">
        <f>IF(AND(D1044&lt;&gt;"",F1044&lt;&gt;""),IF(C1044="",IF(F1044="OH",VLOOKUP(D1044,[1]UPAH!$B$3:$G$32,7,0),VLOOKUP(D1044,[1]BAHAN!$A$2:$D$3,4,0)),0),0)</f>
        <v>0</v>
      </c>
      <c r="I1044" s="126">
        <f>G1044*H1044</f>
        <v>0</v>
      </c>
    </row>
    <row r="1045" spans="2:10" ht="15.95" customHeight="1" thickBot="1" x14ac:dyDescent="0.3">
      <c r="C1045" s="132"/>
      <c r="D1045" s="133"/>
      <c r="E1045" s="134"/>
      <c r="F1045" s="134"/>
      <c r="G1045" s="135" t="s">
        <v>389</v>
      </c>
      <c r="H1045" s="136"/>
      <c r="I1045" s="137">
        <f>I1044</f>
        <v>0</v>
      </c>
    </row>
    <row r="1046" spans="2:10" ht="15.95" customHeight="1" x14ac:dyDescent="0.25">
      <c r="C1046" s="158" t="s">
        <v>390</v>
      </c>
      <c r="D1046" s="159" t="s">
        <v>391</v>
      </c>
      <c r="E1046" s="160"/>
      <c r="F1046" s="160"/>
      <c r="G1046" s="161"/>
      <c r="H1046" s="162">
        <f>IF(AND(D1046&lt;&gt;"",F1046&lt;&gt;""),IF(C1046="",IF(F1046="OH",VLOOKUP(D1046,[1]UPAH!$B$3:$G$32,7,0),VLOOKUP(D1046,[1]BAHAN!$A$2:$D$3,4,0)),0),0)</f>
        <v>0</v>
      </c>
      <c r="I1046" s="126">
        <f>SUM(I1035:I1045)/2</f>
        <v>110445</v>
      </c>
    </row>
    <row r="1047" spans="2:10" ht="15.95" customHeight="1" thickBot="1" x14ac:dyDescent="0.3">
      <c r="C1047" s="147" t="s">
        <v>392</v>
      </c>
      <c r="D1047" s="148" t="s">
        <v>393</v>
      </c>
      <c r="E1047" s="149"/>
      <c r="F1047" s="149"/>
      <c r="G1047" s="164">
        <v>0.1</v>
      </c>
      <c r="H1047" s="151"/>
      <c r="I1047" s="146">
        <f>G1047*I1046</f>
        <v>11044.5</v>
      </c>
    </row>
    <row r="1048" spans="2:10" ht="15.95" customHeight="1" thickBot="1" x14ac:dyDescent="0.3">
      <c r="C1048" s="111" t="s">
        <v>394</v>
      </c>
      <c r="D1048" s="112" t="s">
        <v>395</v>
      </c>
      <c r="E1048" s="134"/>
      <c r="F1048" s="134"/>
      <c r="G1048" s="156"/>
      <c r="H1048" s="136">
        <f>IF(AND(D1048&lt;&gt;"",F1048&lt;&gt;""),IF(C1048="",IF(F1048="OH",VLOOKUP(D1048,[1]UPAH!$B$3:$G$32,7,0),VLOOKUP(D1048,[1]BAHAN!$A$2:$D$3,4,0)),0),0)</f>
        <v>0</v>
      </c>
      <c r="I1048" s="137">
        <f>ROUNDDOWN(I1046+I1047,0)</f>
        <v>121489</v>
      </c>
    </row>
    <row r="1049" spans="2:10" ht="15.95" customHeight="1" x14ac:dyDescent="0.25">
      <c r="C1049" s="109"/>
      <c r="D1049" s="109"/>
      <c r="G1049" s="157"/>
    </row>
    <row r="1050" spans="2:10" ht="15.95" customHeight="1" thickBot="1" x14ac:dyDescent="0.3">
      <c r="B1050" s="109" t="s">
        <v>569</v>
      </c>
      <c r="C1050" s="104" t="s">
        <v>570</v>
      </c>
      <c r="G1050" s="157"/>
      <c r="J1050" s="110">
        <f>I1065</f>
        <v>125543</v>
      </c>
    </row>
    <row r="1051" spans="2:10" ht="15.95" customHeight="1" thickBot="1" x14ac:dyDescent="0.3">
      <c r="C1051" s="111" t="s">
        <v>328</v>
      </c>
      <c r="D1051" s="112" t="s">
        <v>359</v>
      </c>
      <c r="E1051" s="113" t="s">
        <v>360</v>
      </c>
      <c r="F1051" s="113" t="s">
        <v>330</v>
      </c>
      <c r="G1051" s="114" t="s">
        <v>361</v>
      </c>
      <c r="H1051" s="112" t="s">
        <v>362</v>
      </c>
      <c r="I1051" s="115" t="s">
        <v>363</v>
      </c>
    </row>
    <row r="1052" spans="2:10" ht="15.95" customHeight="1" x14ac:dyDescent="0.25">
      <c r="C1052" s="116" t="s">
        <v>364</v>
      </c>
      <c r="D1052" s="117" t="s">
        <v>365</v>
      </c>
      <c r="E1052" s="118"/>
      <c r="F1052" s="118"/>
      <c r="G1052" s="165"/>
      <c r="H1052" s="144"/>
      <c r="I1052" s="126"/>
    </row>
    <row r="1053" spans="2:10" ht="15.95" customHeight="1" x14ac:dyDescent="0.25">
      <c r="C1053" s="122"/>
      <c r="D1053" s="117" t="s">
        <v>366</v>
      </c>
      <c r="E1053" s="123" t="s">
        <v>367</v>
      </c>
      <c r="F1053" s="123" t="s">
        <v>368</v>
      </c>
      <c r="G1053" s="124">
        <v>7.0000000000000007E-2</v>
      </c>
      <c r="H1053" s="125">
        <f>VLOOKUP(D1053,Upah,8,FALSE)</f>
        <v>125000</v>
      </c>
      <c r="I1053" s="126">
        <f>G1053*H1053</f>
        <v>8750</v>
      </c>
    </row>
    <row r="1054" spans="2:10" ht="15.95" customHeight="1" x14ac:dyDescent="0.25">
      <c r="C1054" s="122"/>
      <c r="D1054" s="117" t="s">
        <v>566</v>
      </c>
      <c r="E1054" s="123" t="s">
        <v>567</v>
      </c>
      <c r="F1054" s="123" t="s">
        <v>368</v>
      </c>
      <c r="G1054" s="124">
        <v>3.5000000000000003E-2</v>
      </c>
      <c r="H1054" s="125">
        <f>VLOOKUP(D1054,Upah,8,FALSE)</f>
        <v>150000</v>
      </c>
      <c r="I1054" s="126">
        <f>G1054*H1054</f>
        <v>5250.0000000000009</v>
      </c>
    </row>
    <row r="1055" spans="2:10" ht="15.95" customHeight="1" x14ac:dyDescent="0.25">
      <c r="C1055" s="122"/>
      <c r="D1055" s="117" t="s">
        <v>371</v>
      </c>
      <c r="E1055" s="123" t="s">
        <v>372</v>
      </c>
      <c r="F1055" s="123" t="s">
        <v>368</v>
      </c>
      <c r="G1055" s="124">
        <v>4.0000000000000001E-3</v>
      </c>
      <c r="H1055" s="125">
        <f>VLOOKUP(D1055,Upah,8,FALSE)</f>
        <v>165000</v>
      </c>
      <c r="I1055" s="126">
        <f>G1055*H1055</f>
        <v>660</v>
      </c>
    </row>
    <row r="1056" spans="2:10" ht="15.95" customHeight="1" thickBot="1" x14ac:dyDescent="0.3">
      <c r="C1056" s="122"/>
      <c r="D1056" s="117" t="s">
        <v>373</v>
      </c>
      <c r="E1056" s="123" t="s">
        <v>374</v>
      </c>
      <c r="F1056" s="123" t="s">
        <v>368</v>
      </c>
      <c r="G1056" s="124">
        <v>7.0000000000000001E-3</v>
      </c>
      <c r="H1056" s="125">
        <f>VLOOKUP(D1056,Upah,8,FALSE)</f>
        <v>170000</v>
      </c>
      <c r="I1056" s="126">
        <f>G1056*H1056</f>
        <v>1190</v>
      </c>
    </row>
    <row r="1057" spans="2:10" ht="15.95" customHeight="1" thickBot="1" x14ac:dyDescent="0.3">
      <c r="C1057" s="132"/>
      <c r="D1057" s="133"/>
      <c r="E1057" s="134"/>
      <c r="F1057" s="134"/>
      <c r="G1057" s="135" t="s">
        <v>375</v>
      </c>
      <c r="H1057" s="136"/>
      <c r="I1057" s="137">
        <f>SUM(I1053:I1056)</f>
        <v>15850</v>
      </c>
    </row>
    <row r="1058" spans="2:10" ht="15.95" customHeight="1" x14ac:dyDescent="0.25">
      <c r="C1058" s="116" t="s">
        <v>376</v>
      </c>
      <c r="D1058" s="117" t="s">
        <v>377</v>
      </c>
      <c r="E1058" s="118"/>
      <c r="F1058" s="118"/>
      <c r="G1058" s="165"/>
      <c r="H1058" s="144"/>
      <c r="I1058" s="126"/>
    </row>
    <row r="1059" spans="2:10" ht="15.95" customHeight="1" thickBot="1" x14ac:dyDescent="0.3">
      <c r="C1059" s="122"/>
      <c r="D1059" s="117" t="s">
        <v>571</v>
      </c>
      <c r="E1059" s="118"/>
      <c r="F1059" s="123" t="s">
        <v>127</v>
      </c>
      <c r="G1059" s="124">
        <v>1.05</v>
      </c>
      <c r="H1059" s="144">
        <f>VLOOKUP(D1059,Bahan,6,FALSE)</f>
        <v>93600</v>
      </c>
      <c r="I1059" s="126">
        <f>G1059*H1059</f>
        <v>98280</v>
      </c>
    </row>
    <row r="1060" spans="2:10" ht="15.95" customHeight="1" thickBot="1" x14ac:dyDescent="0.3">
      <c r="C1060" s="132"/>
      <c r="D1060" s="133"/>
      <c r="E1060" s="134"/>
      <c r="F1060" s="134"/>
      <c r="G1060" s="135" t="s">
        <v>386</v>
      </c>
      <c r="H1060" s="136"/>
      <c r="I1060" s="137">
        <f>SUM(I1059)</f>
        <v>98280</v>
      </c>
    </row>
    <row r="1061" spans="2:10" ht="15.95" customHeight="1" thickBot="1" x14ac:dyDescent="0.3">
      <c r="C1061" s="116" t="s">
        <v>387</v>
      </c>
      <c r="D1061" s="117" t="s">
        <v>388</v>
      </c>
      <c r="E1061" s="118"/>
      <c r="F1061" s="118"/>
      <c r="G1061" s="165"/>
      <c r="H1061" s="144">
        <f>IF(AND(D1061&lt;&gt;"",F1061&lt;&gt;""),IF(C1061="",IF(F1061="OH",VLOOKUP(D1061,[1]UPAH!$B$3:$G$32,7,0),VLOOKUP(D1061,[1]BAHAN!$A$2:$D$3,4,0)),0),0)</f>
        <v>0</v>
      </c>
      <c r="I1061" s="126">
        <f>G1061*H1061</f>
        <v>0</v>
      </c>
    </row>
    <row r="1062" spans="2:10" ht="15.95" customHeight="1" thickBot="1" x14ac:dyDescent="0.3">
      <c r="C1062" s="132"/>
      <c r="D1062" s="133"/>
      <c r="E1062" s="134"/>
      <c r="F1062" s="134"/>
      <c r="G1062" s="135" t="s">
        <v>389</v>
      </c>
      <c r="H1062" s="136"/>
      <c r="I1062" s="137">
        <f>I1061</f>
        <v>0</v>
      </c>
    </row>
    <row r="1063" spans="2:10" ht="15.95" customHeight="1" x14ac:dyDescent="0.25">
      <c r="C1063" s="158" t="s">
        <v>390</v>
      </c>
      <c r="D1063" s="159" t="s">
        <v>391</v>
      </c>
      <c r="E1063" s="160"/>
      <c r="F1063" s="160"/>
      <c r="G1063" s="161"/>
      <c r="H1063" s="162">
        <f>IF(AND(D1063&lt;&gt;"",F1063&lt;&gt;""),IF(C1063="",IF(F1063="OH",VLOOKUP(D1063,[1]UPAH!$B$3:$G$32,7,0),VLOOKUP(D1063,[1]BAHAN!$A$2:$D$3,4,0)),0),0)</f>
        <v>0</v>
      </c>
      <c r="I1063" s="126">
        <f>SUM(I1052:I1062)/2</f>
        <v>114130</v>
      </c>
    </row>
    <row r="1064" spans="2:10" ht="15.95" customHeight="1" thickBot="1" x14ac:dyDescent="0.3">
      <c r="C1064" s="147" t="s">
        <v>392</v>
      </c>
      <c r="D1064" s="148" t="s">
        <v>393</v>
      </c>
      <c r="E1064" s="149"/>
      <c r="F1064" s="149"/>
      <c r="G1064" s="164">
        <v>0.1</v>
      </c>
      <c r="H1064" s="151"/>
      <c r="I1064" s="146">
        <f>G1064*I1063</f>
        <v>11413</v>
      </c>
    </row>
    <row r="1065" spans="2:10" ht="15.95" customHeight="1" thickBot="1" x14ac:dyDescent="0.3">
      <c r="C1065" s="111" t="s">
        <v>394</v>
      </c>
      <c r="D1065" s="112" t="s">
        <v>395</v>
      </c>
      <c r="E1065" s="134"/>
      <c r="F1065" s="134"/>
      <c r="G1065" s="156"/>
      <c r="H1065" s="136">
        <f>IF(AND(D1065&lt;&gt;"",F1065&lt;&gt;""),IF(C1065="",IF(F1065="OH",VLOOKUP(D1065,[1]UPAH!$B$3:$G$32,7,0),VLOOKUP(D1065,[1]BAHAN!$A$2:$D$3,4,0)),0),0)</f>
        <v>0</v>
      </c>
      <c r="I1065" s="137">
        <f>ROUNDDOWN(I1063+I1064,0)</f>
        <v>125543</v>
      </c>
    </row>
    <row r="1066" spans="2:10" ht="15.95" customHeight="1" x14ac:dyDescent="0.25">
      <c r="C1066" s="109"/>
      <c r="D1066" s="109"/>
      <c r="G1066" s="157"/>
    </row>
    <row r="1067" spans="2:10" ht="15.95" customHeight="1" thickBot="1" x14ac:dyDescent="0.3">
      <c r="B1067" s="104" t="s">
        <v>572</v>
      </c>
      <c r="C1067" s="109" t="s">
        <v>573</v>
      </c>
      <c r="G1067" s="157"/>
      <c r="J1067" s="110">
        <f>I1082</f>
        <v>156230</v>
      </c>
    </row>
    <row r="1068" spans="2:10" ht="15.95" customHeight="1" thickBot="1" x14ac:dyDescent="0.3">
      <c r="C1068" s="111" t="s">
        <v>328</v>
      </c>
      <c r="D1068" s="112" t="s">
        <v>359</v>
      </c>
      <c r="E1068" s="113" t="s">
        <v>360</v>
      </c>
      <c r="F1068" s="113" t="s">
        <v>330</v>
      </c>
      <c r="G1068" s="114" t="s">
        <v>361</v>
      </c>
      <c r="H1068" s="112" t="s">
        <v>362</v>
      </c>
      <c r="I1068" s="115" t="s">
        <v>363</v>
      </c>
    </row>
    <row r="1069" spans="2:10" ht="15.95" customHeight="1" x14ac:dyDescent="0.25">
      <c r="C1069" s="116" t="s">
        <v>364</v>
      </c>
      <c r="D1069" s="117" t="s">
        <v>365</v>
      </c>
      <c r="E1069" s="118"/>
      <c r="F1069" s="118"/>
      <c r="G1069" s="165"/>
      <c r="H1069" s="144"/>
      <c r="I1069" s="126"/>
    </row>
    <row r="1070" spans="2:10" ht="15.95" customHeight="1" x14ac:dyDescent="0.25">
      <c r="C1070" s="122"/>
      <c r="D1070" s="117" t="s">
        <v>366</v>
      </c>
      <c r="E1070" s="123" t="s">
        <v>367</v>
      </c>
      <c r="F1070" s="123" t="s">
        <v>368</v>
      </c>
      <c r="G1070" s="124">
        <v>0.08</v>
      </c>
      <c r="H1070" s="125">
        <f>VLOOKUP(D1070,Upah,8,FALSE)</f>
        <v>125000</v>
      </c>
      <c r="I1070" s="126">
        <f>G1070*H1070</f>
        <v>10000</v>
      </c>
    </row>
    <row r="1071" spans="2:10" ht="15.95" customHeight="1" x14ac:dyDescent="0.25">
      <c r="C1071" s="122"/>
      <c r="D1071" s="117" t="s">
        <v>505</v>
      </c>
      <c r="E1071" s="123" t="s">
        <v>414</v>
      </c>
      <c r="F1071" s="123" t="s">
        <v>368</v>
      </c>
      <c r="G1071" s="124">
        <v>0.04</v>
      </c>
      <c r="H1071" s="125">
        <f>VLOOKUP(D1071,Upah,8,FALSE)</f>
        <v>150000</v>
      </c>
      <c r="I1071" s="126">
        <f>G1071*H1071</f>
        <v>6000</v>
      </c>
    </row>
    <row r="1072" spans="2:10" ht="15.95" customHeight="1" x14ac:dyDescent="0.25">
      <c r="C1072" s="122"/>
      <c r="D1072" s="117" t="s">
        <v>371</v>
      </c>
      <c r="E1072" s="123" t="s">
        <v>372</v>
      </c>
      <c r="F1072" s="123" t="s">
        <v>368</v>
      </c>
      <c r="G1072" s="124">
        <v>4.0000000000000001E-3</v>
      </c>
      <c r="H1072" s="125">
        <f>VLOOKUP(D1072,Upah,8,FALSE)</f>
        <v>165000</v>
      </c>
      <c r="I1072" s="126">
        <f>G1072*H1072</f>
        <v>660</v>
      </c>
    </row>
    <row r="1073" spans="2:10" ht="15.95" customHeight="1" thickBot="1" x14ac:dyDescent="0.3">
      <c r="C1073" s="122"/>
      <c r="D1073" s="117" t="s">
        <v>373</v>
      </c>
      <c r="E1073" s="123" t="s">
        <v>374</v>
      </c>
      <c r="F1073" s="123" t="s">
        <v>368</v>
      </c>
      <c r="G1073" s="124">
        <v>4.0000000000000001E-3</v>
      </c>
      <c r="H1073" s="125">
        <f>VLOOKUP(D1073,Upah,8,FALSE)</f>
        <v>170000</v>
      </c>
      <c r="I1073" s="126">
        <f>G1073*H1073</f>
        <v>680</v>
      </c>
    </row>
    <row r="1074" spans="2:10" ht="15.95" customHeight="1" thickBot="1" x14ac:dyDescent="0.3">
      <c r="C1074" s="132"/>
      <c r="D1074" s="133"/>
      <c r="E1074" s="134"/>
      <c r="F1074" s="134"/>
      <c r="G1074" s="135" t="s">
        <v>375</v>
      </c>
      <c r="H1074" s="136"/>
      <c r="I1074" s="137">
        <f>SUM(I1070:I1073)</f>
        <v>17340</v>
      </c>
    </row>
    <row r="1075" spans="2:10" ht="15.95" customHeight="1" x14ac:dyDescent="0.25">
      <c r="C1075" s="116" t="s">
        <v>376</v>
      </c>
      <c r="D1075" s="117" t="s">
        <v>377</v>
      </c>
      <c r="E1075" s="118"/>
      <c r="F1075" s="118"/>
      <c r="G1075" s="165"/>
      <c r="H1075" s="144"/>
      <c r="I1075" s="126"/>
    </row>
    <row r="1076" spans="2:10" ht="15.95" customHeight="1" thickBot="1" x14ac:dyDescent="0.3">
      <c r="C1076" s="122"/>
      <c r="D1076" s="117" t="s">
        <v>574</v>
      </c>
      <c r="E1076" s="118"/>
      <c r="F1076" s="123" t="s">
        <v>127</v>
      </c>
      <c r="G1076" s="124">
        <v>1.05</v>
      </c>
      <c r="H1076" s="144">
        <f>VLOOKUP(D1076,Bahan,6,FALSE)</f>
        <v>118750</v>
      </c>
      <c r="I1076" s="126">
        <f>G1076*H1076</f>
        <v>124687.5</v>
      </c>
    </row>
    <row r="1077" spans="2:10" ht="15.95" customHeight="1" thickBot="1" x14ac:dyDescent="0.3">
      <c r="C1077" s="132"/>
      <c r="D1077" s="133"/>
      <c r="E1077" s="134"/>
      <c r="F1077" s="134"/>
      <c r="G1077" s="135" t="s">
        <v>386</v>
      </c>
      <c r="H1077" s="136"/>
      <c r="I1077" s="137">
        <f>SUM(I1076)</f>
        <v>124687.5</v>
      </c>
    </row>
    <row r="1078" spans="2:10" ht="15.95" customHeight="1" thickBot="1" x14ac:dyDescent="0.3">
      <c r="C1078" s="116" t="s">
        <v>387</v>
      </c>
      <c r="D1078" s="117" t="s">
        <v>388</v>
      </c>
      <c r="E1078" s="118"/>
      <c r="F1078" s="118"/>
      <c r="G1078" s="165"/>
      <c r="H1078" s="144">
        <f>IF(AND(D1078&lt;&gt;"",F1078&lt;&gt;""),IF(C1078="",IF(F1078="OH",VLOOKUP(D1078,[1]UPAH!$B$3:$G$32,7,0),VLOOKUP(D1078,[1]BAHAN!$A$2:$D$3,4,0)),0),0)</f>
        <v>0</v>
      </c>
      <c r="I1078" s="126">
        <f>G1078*H1078</f>
        <v>0</v>
      </c>
    </row>
    <row r="1079" spans="2:10" ht="15.95" customHeight="1" thickBot="1" x14ac:dyDescent="0.3">
      <c r="C1079" s="132"/>
      <c r="D1079" s="133"/>
      <c r="E1079" s="134"/>
      <c r="F1079" s="134"/>
      <c r="G1079" s="135" t="s">
        <v>389</v>
      </c>
      <c r="H1079" s="136"/>
      <c r="I1079" s="137">
        <f>I1078</f>
        <v>0</v>
      </c>
    </row>
    <row r="1080" spans="2:10" ht="15.95" customHeight="1" x14ac:dyDescent="0.25">
      <c r="C1080" s="158" t="s">
        <v>390</v>
      </c>
      <c r="D1080" s="159" t="s">
        <v>391</v>
      </c>
      <c r="E1080" s="160"/>
      <c r="F1080" s="160"/>
      <c r="G1080" s="161"/>
      <c r="H1080" s="162">
        <f>IF(AND(D1080&lt;&gt;"",F1080&lt;&gt;""),IF(C1080="",IF(F1080="OH",VLOOKUP(D1080,[1]UPAH!$B$3:$G$32,7,0),VLOOKUP(D1080,[1]BAHAN!$A$2:$D$3,4,0)),0),0)</f>
        <v>0</v>
      </c>
      <c r="I1080" s="126">
        <f>SUM(I1069:I1079)/2</f>
        <v>142027.5</v>
      </c>
    </row>
    <row r="1081" spans="2:10" ht="15.95" customHeight="1" thickBot="1" x14ac:dyDescent="0.3">
      <c r="C1081" s="147" t="s">
        <v>392</v>
      </c>
      <c r="D1081" s="148" t="s">
        <v>393</v>
      </c>
      <c r="E1081" s="149"/>
      <c r="F1081" s="149"/>
      <c r="G1081" s="164">
        <v>0.1</v>
      </c>
      <c r="H1081" s="151"/>
      <c r="I1081" s="146">
        <f>G1081*I1080</f>
        <v>14202.75</v>
      </c>
    </row>
    <row r="1082" spans="2:10" ht="15.95" customHeight="1" thickBot="1" x14ac:dyDescent="0.3">
      <c r="C1082" s="111" t="s">
        <v>394</v>
      </c>
      <c r="D1082" s="112" t="s">
        <v>395</v>
      </c>
      <c r="E1082" s="134"/>
      <c r="F1082" s="134"/>
      <c r="G1082" s="156"/>
      <c r="H1082" s="136">
        <f>IF(AND(D1082&lt;&gt;"",F1082&lt;&gt;""),IF(C1082="",IF(F1082="OH",VLOOKUP(D1082,[1]UPAH!$B$3:$G$32,7,0),VLOOKUP(D1082,[1]BAHAN!$A$2:$D$3,4,0)),0),0)</f>
        <v>0</v>
      </c>
      <c r="I1082" s="137">
        <f>ROUNDDOWN(I1080+I1081,0)</f>
        <v>156230</v>
      </c>
    </row>
    <row r="1083" spans="2:10" ht="15.95" customHeight="1" x14ac:dyDescent="0.25">
      <c r="C1083" s="109"/>
      <c r="D1083" s="109"/>
      <c r="G1083" s="157"/>
      <c r="H1083" s="166"/>
      <c r="I1083" s="110"/>
    </row>
    <row r="1084" spans="2:10" ht="15.95" customHeight="1" thickBot="1" x14ac:dyDescent="0.3">
      <c r="B1084" s="247" t="s">
        <v>575</v>
      </c>
      <c r="C1084" s="104" t="s">
        <v>576</v>
      </c>
      <c r="G1084" s="157"/>
      <c r="J1084" s="110">
        <f>I1100</f>
        <v>176917</v>
      </c>
    </row>
    <row r="1085" spans="2:10" ht="15.95" customHeight="1" thickBot="1" x14ac:dyDescent="0.3">
      <c r="C1085" s="111" t="s">
        <v>328</v>
      </c>
      <c r="D1085" s="112" t="s">
        <v>359</v>
      </c>
      <c r="E1085" s="113" t="s">
        <v>360</v>
      </c>
      <c r="F1085" s="113" t="s">
        <v>330</v>
      </c>
      <c r="G1085" s="114" t="s">
        <v>361</v>
      </c>
      <c r="H1085" s="112" t="s">
        <v>362</v>
      </c>
      <c r="I1085" s="115" t="s">
        <v>363</v>
      </c>
    </row>
    <row r="1086" spans="2:10" ht="15.95" customHeight="1" x14ac:dyDescent="0.25">
      <c r="C1086" s="116" t="s">
        <v>364</v>
      </c>
      <c r="D1086" s="117" t="s">
        <v>365</v>
      </c>
      <c r="E1086" s="118"/>
      <c r="F1086" s="118"/>
      <c r="G1086" s="165"/>
      <c r="H1086" s="144"/>
      <c r="I1086" s="126"/>
    </row>
    <row r="1087" spans="2:10" ht="15.95" customHeight="1" x14ac:dyDescent="0.25">
      <c r="C1087" s="122"/>
      <c r="D1087" s="117" t="s">
        <v>366</v>
      </c>
      <c r="E1087" s="123" t="s">
        <v>367</v>
      </c>
      <c r="F1087" s="123" t="s">
        <v>368</v>
      </c>
      <c r="G1087" s="124">
        <v>7.0000000000000007E-2</v>
      </c>
      <c r="H1087" s="125">
        <f>VLOOKUP(D1087,Upah,8,FALSE)</f>
        <v>125000</v>
      </c>
      <c r="I1087" s="126">
        <f>G1087*H1087</f>
        <v>8750</v>
      </c>
    </row>
    <row r="1088" spans="2:10" ht="15.95" customHeight="1" x14ac:dyDescent="0.25">
      <c r="C1088" s="122"/>
      <c r="D1088" s="117" t="s">
        <v>577</v>
      </c>
      <c r="E1088" s="123" t="s">
        <v>578</v>
      </c>
      <c r="F1088" s="123" t="s">
        <v>368</v>
      </c>
      <c r="G1088" s="124">
        <v>7.0000000000000007E-2</v>
      </c>
      <c r="H1088" s="125">
        <f>VLOOKUP(D1088,Upah,8,FALSE)</f>
        <v>150000</v>
      </c>
      <c r="I1088" s="126">
        <f>G1088*H1088</f>
        <v>10500.000000000002</v>
      </c>
    </row>
    <row r="1089" spans="2:10" ht="15.95" customHeight="1" x14ac:dyDescent="0.25">
      <c r="C1089" s="122"/>
      <c r="D1089" s="117" t="s">
        <v>371</v>
      </c>
      <c r="E1089" s="123" t="s">
        <v>372</v>
      </c>
      <c r="F1089" s="123" t="s">
        <v>368</v>
      </c>
      <c r="G1089" s="124">
        <v>7.0000000000000001E-3</v>
      </c>
      <c r="H1089" s="125">
        <f>VLOOKUP(D1089,Upah,8,FALSE)</f>
        <v>165000</v>
      </c>
      <c r="I1089" s="126">
        <f>G1089*H1089</f>
        <v>1155</v>
      </c>
    </row>
    <row r="1090" spans="2:10" ht="15.95" customHeight="1" thickBot="1" x14ac:dyDescent="0.3">
      <c r="C1090" s="122"/>
      <c r="D1090" s="117" t="s">
        <v>373</v>
      </c>
      <c r="E1090" s="123" t="s">
        <v>374</v>
      </c>
      <c r="F1090" s="123" t="s">
        <v>368</v>
      </c>
      <c r="G1090" s="124">
        <v>4.0000000000000001E-3</v>
      </c>
      <c r="H1090" s="125">
        <f>VLOOKUP(D1090,Upah,8,FALSE)</f>
        <v>170000</v>
      </c>
      <c r="I1090" s="126">
        <f>G1090*H1090</f>
        <v>680</v>
      </c>
    </row>
    <row r="1091" spans="2:10" ht="15.95" customHeight="1" thickBot="1" x14ac:dyDescent="0.3">
      <c r="C1091" s="132"/>
      <c r="D1091" s="133"/>
      <c r="E1091" s="134"/>
      <c r="F1091" s="134"/>
      <c r="G1091" s="135" t="s">
        <v>375</v>
      </c>
      <c r="H1091" s="136"/>
      <c r="I1091" s="137">
        <f>SUM(I1087:I1090)</f>
        <v>21085</v>
      </c>
    </row>
    <row r="1092" spans="2:10" ht="15.95" customHeight="1" x14ac:dyDescent="0.25">
      <c r="C1092" s="116" t="s">
        <v>376</v>
      </c>
      <c r="D1092" s="117" t="s">
        <v>377</v>
      </c>
      <c r="E1092" s="118"/>
      <c r="F1092" s="118"/>
      <c r="G1092" s="165"/>
      <c r="H1092" s="144"/>
      <c r="I1092" s="126"/>
    </row>
    <row r="1093" spans="2:10" ht="15.95" customHeight="1" x14ac:dyDescent="0.25">
      <c r="C1093" s="122"/>
      <c r="D1093" s="117" t="s">
        <v>524</v>
      </c>
      <c r="E1093" s="118"/>
      <c r="F1093" s="123" t="s">
        <v>133</v>
      </c>
      <c r="G1093" s="124">
        <v>10.5</v>
      </c>
      <c r="H1093" s="144">
        <f>VLOOKUP(D1093,Bahan,6,FALSE)</f>
        <v>12920</v>
      </c>
      <c r="I1093" s="126">
        <f>G1093*H1093</f>
        <v>135660</v>
      </c>
    </row>
    <row r="1094" spans="2:10" ht="15.95" customHeight="1" thickBot="1" x14ac:dyDescent="0.3">
      <c r="C1094" s="122"/>
      <c r="D1094" s="117" t="s">
        <v>525</v>
      </c>
      <c r="E1094" s="118"/>
      <c r="F1094" s="123" t="s">
        <v>133</v>
      </c>
      <c r="G1094" s="124">
        <v>0.15</v>
      </c>
      <c r="H1094" s="144">
        <f>VLOOKUP(D1094,Bahan,6,FALSE)</f>
        <v>27260</v>
      </c>
      <c r="I1094" s="126">
        <f>G1094*H1094</f>
        <v>4089</v>
      </c>
    </row>
    <row r="1095" spans="2:10" ht="15.95" customHeight="1" thickBot="1" x14ac:dyDescent="0.3">
      <c r="C1095" s="132"/>
      <c r="D1095" s="133"/>
      <c r="E1095" s="134"/>
      <c r="F1095" s="134"/>
      <c r="G1095" s="135" t="s">
        <v>386</v>
      </c>
      <c r="H1095" s="136"/>
      <c r="I1095" s="137">
        <f>SUM(I1093:I1094)</f>
        <v>139749</v>
      </c>
    </row>
    <row r="1096" spans="2:10" ht="15.95" customHeight="1" thickBot="1" x14ac:dyDescent="0.3">
      <c r="C1096" s="116" t="s">
        <v>387</v>
      </c>
      <c r="D1096" s="117" t="s">
        <v>388</v>
      </c>
      <c r="E1096" s="118"/>
      <c r="F1096" s="118"/>
      <c r="G1096" s="165"/>
      <c r="H1096" s="144">
        <f>IF(AND(D1096&lt;&gt;"",F1096&lt;&gt;""),IF(C1096="",IF(F1096="OH",VLOOKUP(D1096,[1]UPAH!$B$3:$G$32,7,0),VLOOKUP(D1096,[1]BAHAN!$A$2:$D$3,4,0)),0),0)</f>
        <v>0</v>
      </c>
      <c r="I1096" s="126">
        <f>G1096*H1096</f>
        <v>0</v>
      </c>
    </row>
    <row r="1097" spans="2:10" ht="15.95" customHeight="1" thickBot="1" x14ac:dyDescent="0.3">
      <c r="C1097" s="132"/>
      <c r="D1097" s="133"/>
      <c r="E1097" s="134"/>
      <c r="F1097" s="134"/>
      <c r="G1097" s="135" t="s">
        <v>389</v>
      </c>
      <c r="H1097" s="136"/>
      <c r="I1097" s="137">
        <f>I1096</f>
        <v>0</v>
      </c>
    </row>
    <row r="1098" spans="2:10" ht="15.95" customHeight="1" x14ac:dyDescent="0.25">
      <c r="C1098" s="158" t="s">
        <v>390</v>
      </c>
      <c r="D1098" s="159" t="s">
        <v>391</v>
      </c>
      <c r="E1098" s="160"/>
      <c r="F1098" s="160"/>
      <c r="G1098" s="161"/>
      <c r="H1098" s="162">
        <f>IF(AND(D1098&lt;&gt;"",F1098&lt;&gt;""),IF(C1098="",IF(F1098="OH",VLOOKUP(D1098,[1]UPAH!$B$3:$G$32,7,0),VLOOKUP(D1098,[1]BAHAN!$A$2:$D$3,4,0)),0),0)</f>
        <v>0</v>
      </c>
      <c r="I1098" s="126">
        <f>SUM(I1087:I1097)/2</f>
        <v>160834</v>
      </c>
    </row>
    <row r="1099" spans="2:10" ht="15.95" customHeight="1" thickBot="1" x14ac:dyDescent="0.3">
      <c r="C1099" s="147" t="s">
        <v>392</v>
      </c>
      <c r="D1099" s="148" t="s">
        <v>393</v>
      </c>
      <c r="E1099" s="149"/>
      <c r="F1099" s="149"/>
      <c r="G1099" s="164">
        <v>0.1</v>
      </c>
      <c r="H1099" s="151"/>
      <c r="I1099" s="146">
        <f>G1099*I1098</f>
        <v>16083.400000000001</v>
      </c>
    </row>
    <row r="1100" spans="2:10" ht="15.95" customHeight="1" thickBot="1" x14ac:dyDescent="0.3">
      <c r="C1100" s="111" t="s">
        <v>394</v>
      </c>
      <c r="D1100" s="112" t="s">
        <v>395</v>
      </c>
      <c r="E1100" s="134"/>
      <c r="F1100" s="134"/>
      <c r="G1100" s="156"/>
      <c r="H1100" s="136">
        <f>IF(AND(D1100&lt;&gt;"",F1100&lt;&gt;""),IF(C1100="",IF(F1100="OH",VLOOKUP(D1100,[1]UPAH!$B$3:$G$32,7,0),VLOOKUP(D1100,[1]BAHAN!$A$2:$D$3,4,0)),0),0)</f>
        <v>0</v>
      </c>
      <c r="I1100" s="137">
        <f>ROUNDDOWN(I1098+I1099,0)</f>
        <v>176917</v>
      </c>
    </row>
    <row r="1101" spans="2:10" ht="15.95" customHeight="1" x14ac:dyDescent="0.25">
      <c r="C1101" s="109"/>
      <c r="D1101" s="109"/>
      <c r="G1101" s="157"/>
      <c r="H1101" s="166"/>
      <c r="I1101" s="110"/>
    </row>
    <row r="1102" spans="2:10" ht="15.95" customHeight="1" thickBot="1" x14ac:dyDescent="0.3">
      <c r="B1102" s="104" t="s">
        <v>579</v>
      </c>
      <c r="C1102" s="104" t="s">
        <v>580</v>
      </c>
      <c r="G1102" s="157"/>
      <c r="J1102" s="110">
        <f>I1118</f>
        <v>168818</v>
      </c>
    </row>
    <row r="1103" spans="2:10" ht="15.95" customHeight="1" thickBot="1" x14ac:dyDescent="0.3">
      <c r="C1103" s="111" t="s">
        <v>328</v>
      </c>
      <c r="D1103" s="112" t="s">
        <v>359</v>
      </c>
      <c r="E1103" s="113" t="s">
        <v>360</v>
      </c>
      <c r="F1103" s="113" t="s">
        <v>330</v>
      </c>
      <c r="G1103" s="114" t="s">
        <v>361</v>
      </c>
      <c r="H1103" s="112" t="s">
        <v>362</v>
      </c>
      <c r="I1103" s="115" t="s">
        <v>363</v>
      </c>
    </row>
    <row r="1104" spans="2:10" ht="15.95" customHeight="1" x14ac:dyDescent="0.25">
      <c r="C1104" s="116" t="s">
        <v>364</v>
      </c>
      <c r="D1104" s="117" t="s">
        <v>365</v>
      </c>
      <c r="E1104" s="118"/>
      <c r="F1104" s="118"/>
      <c r="G1104" s="165"/>
      <c r="H1104" s="144"/>
      <c r="I1104" s="126"/>
    </row>
    <row r="1105" spans="2:11" ht="15.95" customHeight="1" x14ac:dyDescent="0.25">
      <c r="C1105" s="122"/>
      <c r="D1105" s="117" t="s">
        <v>366</v>
      </c>
      <c r="E1105" s="123" t="s">
        <v>367</v>
      </c>
      <c r="F1105" s="123" t="s">
        <v>368</v>
      </c>
      <c r="G1105" s="124">
        <v>0.05</v>
      </c>
      <c r="H1105" s="125">
        <f>VLOOKUP(D1105,Upah,8,FALSE)</f>
        <v>125000</v>
      </c>
      <c r="I1105" s="126">
        <f>G1105*H1105</f>
        <v>6250</v>
      </c>
    </row>
    <row r="1106" spans="2:11" ht="15.95" customHeight="1" x14ac:dyDescent="0.25">
      <c r="C1106" s="122"/>
      <c r="D1106" s="117" t="s">
        <v>577</v>
      </c>
      <c r="E1106" s="123" t="s">
        <v>578</v>
      </c>
      <c r="F1106" s="123" t="s">
        <v>368</v>
      </c>
      <c r="G1106" s="124">
        <v>0.05</v>
      </c>
      <c r="H1106" s="125">
        <f>VLOOKUP(D1106,Upah,8,FALSE)</f>
        <v>150000</v>
      </c>
      <c r="I1106" s="126">
        <f>G1106*H1106</f>
        <v>7500</v>
      </c>
    </row>
    <row r="1107" spans="2:11" ht="15.95" customHeight="1" x14ac:dyDescent="0.25">
      <c r="C1107" s="122"/>
      <c r="D1107" s="117" t="s">
        <v>371</v>
      </c>
      <c r="E1107" s="123" t="s">
        <v>372</v>
      </c>
      <c r="F1107" s="123" t="s">
        <v>368</v>
      </c>
      <c r="G1107" s="124">
        <v>5.0000000000000001E-3</v>
      </c>
      <c r="H1107" s="125">
        <f>VLOOKUP(D1107,Upah,8,FALSE)</f>
        <v>165000</v>
      </c>
      <c r="I1107" s="126">
        <f>G1107*H1107</f>
        <v>825</v>
      </c>
    </row>
    <row r="1108" spans="2:11" ht="15.95" customHeight="1" thickBot="1" x14ac:dyDescent="0.3">
      <c r="C1108" s="122"/>
      <c r="D1108" s="117" t="s">
        <v>373</v>
      </c>
      <c r="E1108" s="123" t="s">
        <v>374</v>
      </c>
      <c r="F1108" s="123" t="s">
        <v>368</v>
      </c>
      <c r="G1108" s="124">
        <v>3.0000000000000001E-3</v>
      </c>
      <c r="H1108" s="125">
        <f>VLOOKUP(D1108,Upah,8,FALSE)</f>
        <v>170000</v>
      </c>
      <c r="I1108" s="126">
        <f>G1108*H1108</f>
        <v>510</v>
      </c>
    </row>
    <row r="1109" spans="2:11" ht="15.95" customHeight="1" thickBot="1" x14ac:dyDescent="0.3">
      <c r="C1109" s="132"/>
      <c r="D1109" s="133"/>
      <c r="E1109" s="134"/>
      <c r="F1109" s="134"/>
      <c r="G1109" s="135" t="s">
        <v>375</v>
      </c>
      <c r="H1109" s="136"/>
      <c r="I1109" s="137">
        <f>SUM(I1105:I1108)</f>
        <v>15085</v>
      </c>
    </row>
    <row r="1110" spans="2:11" ht="15.95" customHeight="1" x14ac:dyDescent="0.25">
      <c r="C1110" s="116" t="s">
        <v>376</v>
      </c>
      <c r="D1110" s="117" t="s">
        <v>377</v>
      </c>
      <c r="E1110" s="118"/>
      <c r="F1110" s="118"/>
      <c r="G1110" s="165"/>
      <c r="H1110" s="144"/>
      <c r="I1110" s="126"/>
    </row>
    <row r="1111" spans="2:11" ht="15.95" customHeight="1" x14ac:dyDescent="0.25">
      <c r="C1111" s="122"/>
      <c r="D1111" s="117" t="s">
        <v>524</v>
      </c>
      <c r="E1111" s="118"/>
      <c r="F1111" s="123" t="s">
        <v>133</v>
      </c>
      <c r="G1111" s="124">
        <v>10.5</v>
      </c>
      <c r="H1111" s="144">
        <f>VLOOKUP(D1111,Bahan,6,FALSE)</f>
        <v>12920</v>
      </c>
      <c r="I1111" s="126">
        <f>G1111*H1111</f>
        <v>135660</v>
      </c>
    </row>
    <row r="1112" spans="2:11" ht="15.95" customHeight="1" thickBot="1" x14ac:dyDescent="0.3">
      <c r="C1112" s="122"/>
      <c r="D1112" s="117" t="s">
        <v>525</v>
      </c>
      <c r="E1112" s="118"/>
      <c r="F1112" s="123" t="s">
        <v>133</v>
      </c>
      <c r="G1112" s="124">
        <v>0.1</v>
      </c>
      <c r="H1112" s="144">
        <f>VLOOKUP(D1112,Bahan,6,FALSE)</f>
        <v>27260</v>
      </c>
      <c r="I1112" s="126">
        <f>G1112*H1112</f>
        <v>2726</v>
      </c>
    </row>
    <row r="1113" spans="2:11" ht="15.95" customHeight="1" thickBot="1" x14ac:dyDescent="0.3">
      <c r="C1113" s="132"/>
      <c r="D1113" s="133"/>
      <c r="E1113" s="134"/>
      <c r="F1113" s="134"/>
      <c r="G1113" s="135" t="s">
        <v>386</v>
      </c>
      <c r="H1113" s="136"/>
      <c r="I1113" s="137">
        <f>SUM(I1111:I1112)</f>
        <v>138386</v>
      </c>
    </row>
    <row r="1114" spans="2:11" ht="15.95" customHeight="1" thickBot="1" x14ac:dyDescent="0.3">
      <c r="C1114" s="116" t="s">
        <v>387</v>
      </c>
      <c r="D1114" s="117" t="s">
        <v>388</v>
      </c>
      <c r="E1114" s="118"/>
      <c r="F1114" s="118"/>
      <c r="G1114" s="165"/>
      <c r="H1114" s="144">
        <f>IF(AND(D1114&lt;&gt;"",F1114&lt;&gt;""),IF(C1114="",IF(F1114="OH",VLOOKUP(D1114,[1]UPAH!$B$3:$G$32,7,0),VLOOKUP(D1114,[1]BAHAN!$A$2:$D$3,4,0)),0),0)</f>
        <v>0</v>
      </c>
      <c r="I1114" s="126">
        <f>G1114*H1114</f>
        <v>0</v>
      </c>
    </row>
    <row r="1115" spans="2:11" ht="15.95" customHeight="1" thickBot="1" x14ac:dyDescent="0.3">
      <c r="C1115" s="132"/>
      <c r="D1115" s="133"/>
      <c r="E1115" s="134"/>
      <c r="F1115" s="134"/>
      <c r="G1115" s="135" t="s">
        <v>389</v>
      </c>
      <c r="H1115" s="136"/>
      <c r="I1115" s="137">
        <f>I1114</f>
        <v>0</v>
      </c>
    </row>
    <row r="1116" spans="2:11" ht="15.95" customHeight="1" x14ac:dyDescent="0.25">
      <c r="C1116" s="158" t="s">
        <v>390</v>
      </c>
      <c r="D1116" s="159" t="s">
        <v>391</v>
      </c>
      <c r="E1116" s="160"/>
      <c r="F1116" s="160"/>
      <c r="G1116" s="161"/>
      <c r="H1116" s="162">
        <f>IF(AND(D1116&lt;&gt;"",F1116&lt;&gt;""),IF(C1116="",IF(F1116="OH",VLOOKUP(D1116,[1]UPAH!$B$3:$G$32,7,0),VLOOKUP(D1116,[1]BAHAN!$A$2:$D$3,4,0)),0),0)</f>
        <v>0</v>
      </c>
      <c r="I1116" s="126">
        <f>SUM(I1104:I1115)/2</f>
        <v>153471</v>
      </c>
    </row>
    <row r="1117" spans="2:11" ht="15.95" customHeight="1" thickBot="1" x14ac:dyDescent="0.3">
      <c r="C1117" s="147" t="s">
        <v>392</v>
      </c>
      <c r="D1117" s="148" t="s">
        <v>393</v>
      </c>
      <c r="E1117" s="149"/>
      <c r="F1117" s="149"/>
      <c r="G1117" s="164">
        <v>0.1</v>
      </c>
      <c r="H1117" s="151"/>
      <c r="I1117" s="146">
        <f>G1117*I1116</f>
        <v>15347.1</v>
      </c>
    </row>
    <row r="1118" spans="2:11" ht="15.95" customHeight="1" thickBot="1" x14ac:dyDescent="0.3">
      <c r="C1118" s="111" t="s">
        <v>394</v>
      </c>
      <c r="D1118" s="112" t="s">
        <v>395</v>
      </c>
      <c r="E1118" s="134"/>
      <c r="F1118" s="134"/>
      <c r="G1118" s="156"/>
      <c r="H1118" s="136">
        <f>IF(AND(D1118&lt;&gt;"",F1118&lt;&gt;""),IF(C1118="",IF(F1118="OH",VLOOKUP(D1118,[1]UPAH!$B$3:$G$32,7,0),VLOOKUP(D1118,[1]BAHAN!$A$2:$D$3,4,0)),0),0)</f>
        <v>0</v>
      </c>
      <c r="I1118" s="137">
        <f>ROUNDDOWN(I1116+I1117,0)</f>
        <v>168818</v>
      </c>
      <c r="K1118" s="176"/>
    </row>
    <row r="1119" spans="2:11" ht="15.95" customHeight="1" x14ac:dyDescent="0.25">
      <c r="C1119" s="109"/>
      <c r="D1119" s="109"/>
      <c r="G1119" s="157"/>
    </row>
    <row r="1120" spans="2:11" ht="15.95" customHeight="1" thickBot="1" x14ac:dyDescent="0.3">
      <c r="B1120" s="104" t="s">
        <v>581</v>
      </c>
      <c r="C1120" s="109" t="s">
        <v>582</v>
      </c>
      <c r="G1120" s="157"/>
      <c r="J1120" s="110">
        <f>I1136</f>
        <v>163236</v>
      </c>
    </row>
    <row r="1121" spans="3:9" ht="15.95" customHeight="1" thickBot="1" x14ac:dyDescent="0.3">
      <c r="C1121" s="111" t="s">
        <v>328</v>
      </c>
      <c r="D1121" s="112" t="s">
        <v>359</v>
      </c>
      <c r="E1121" s="113" t="s">
        <v>360</v>
      </c>
      <c r="F1121" s="113" t="s">
        <v>330</v>
      </c>
      <c r="G1121" s="114" t="s">
        <v>361</v>
      </c>
      <c r="H1121" s="112" t="s">
        <v>362</v>
      </c>
      <c r="I1121" s="115" t="s">
        <v>363</v>
      </c>
    </row>
    <row r="1122" spans="3:9" ht="15.95" customHeight="1" x14ac:dyDescent="0.25">
      <c r="C1122" s="116" t="s">
        <v>364</v>
      </c>
      <c r="D1122" s="117" t="s">
        <v>365</v>
      </c>
      <c r="E1122" s="118"/>
      <c r="F1122" s="118"/>
      <c r="G1122" s="165"/>
      <c r="H1122" s="144"/>
      <c r="I1122" s="126"/>
    </row>
    <row r="1123" spans="3:9" ht="15.95" customHeight="1" x14ac:dyDescent="0.25">
      <c r="C1123" s="122"/>
      <c r="D1123" s="117" t="s">
        <v>366</v>
      </c>
      <c r="E1123" s="123" t="s">
        <v>367</v>
      </c>
      <c r="F1123" s="123" t="s">
        <v>368</v>
      </c>
      <c r="G1123" s="124">
        <v>2.5000000000000001E-2</v>
      </c>
      <c r="H1123" s="125">
        <f>VLOOKUP(D1123,Upah,8,FALSE)</f>
        <v>125000</v>
      </c>
      <c r="I1123" s="126">
        <f>G1123*H1123</f>
        <v>3125</v>
      </c>
    </row>
    <row r="1124" spans="3:9" ht="15.95" customHeight="1" x14ac:dyDescent="0.25">
      <c r="C1124" s="122"/>
      <c r="D1124" s="117" t="s">
        <v>577</v>
      </c>
      <c r="E1124" s="123" t="s">
        <v>578</v>
      </c>
      <c r="F1124" s="123" t="s">
        <v>368</v>
      </c>
      <c r="G1124" s="124">
        <v>2.5000000000000001E-2</v>
      </c>
      <c r="H1124" s="125">
        <f>VLOOKUP(D1124,Upah,8,FALSE)</f>
        <v>150000</v>
      </c>
      <c r="I1124" s="126">
        <f>G1124*H1124</f>
        <v>3750</v>
      </c>
    </row>
    <row r="1125" spans="3:9" ht="15.95" customHeight="1" x14ac:dyDescent="0.25">
      <c r="C1125" s="122"/>
      <c r="D1125" s="117" t="s">
        <v>371</v>
      </c>
      <c r="E1125" s="123" t="s">
        <v>372</v>
      </c>
      <c r="F1125" s="123" t="s">
        <v>368</v>
      </c>
      <c r="G1125" s="124">
        <v>2.5000000000000001E-2</v>
      </c>
      <c r="H1125" s="125">
        <f>VLOOKUP(D1125,Upah,8,FALSE)</f>
        <v>165000</v>
      </c>
      <c r="I1125" s="126">
        <f>G1125*H1125</f>
        <v>4125</v>
      </c>
    </row>
    <row r="1126" spans="3:9" ht="15.95" customHeight="1" thickBot="1" x14ac:dyDescent="0.3">
      <c r="C1126" s="122"/>
      <c r="D1126" s="117" t="s">
        <v>373</v>
      </c>
      <c r="E1126" s="123" t="s">
        <v>374</v>
      </c>
      <c r="F1126" s="123" t="s">
        <v>368</v>
      </c>
      <c r="G1126" s="124">
        <v>1E-3</v>
      </c>
      <c r="H1126" s="125">
        <f>VLOOKUP(D1126,Upah,8,FALSE)</f>
        <v>170000</v>
      </c>
      <c r="I1126" s="126">
        <f>G1126*H1126</f>
        <v>170</v>
      </c>
    </row>
    <row r="1127" spans="3:9" ht="15.95" customHeight="1" thickBot="1" x14ac:dyDescent="0.3">
      <c r="C1127" s="132"/>
      <c r="D1127" s="133"/>
      <c r="E1127" s="134"/>
      <c r="F1127" s="134"/>
      <c r="G1127" s="135" t="s">
        <v>375</v>
      </c>
      <c r="H1127" s="136"/>
      <c r="I1127" s="137">
        <f>SUM(I1123:I1126)</f>
        <v>11170</v>
      </c>
    </row>
    <row r="1128" spans="3:9" ht="15.95" customHeight="1" x14ac:dyDescent="0.25">
      <c r="C1128" s="116" t="s">
        <v>376</v>
      </c>
      <c r="D1128" s="117" t="s">
        <v>377</v>
      </c>
      <c r="E1128" s="118"/>
      <c r="F1128" s="118"/>
      <c r="G1128" s="165"/>
      <c r="H1128" s="144"/>
      <c r="I1128" s="126"/>
    </row>
    <row r="1129" spans="3:9" ht="15.95" customHeight="1" x14ac:dyDescent="0.25">
      <c r="C1129" s="122"/>
      <c r="D1129" s="117" t="s">
        <v>583</v>
      </c>
      <c r="E1129" s="118"/>
      <c r="F1129" s="123" t="s">
        <v>133</v>
      </c>
      <c r="G1129" s="124">
        <v>10.199999999999999</v>
      </c>
      <c r="H1129" s="144">
        <f>VLOOKUP(D1129,Bahan,6,FALSE)</f>
        <v>13320</v>
      </c>
      <c r="I1129" s="126">
        <f>G1129*H1129</f>
        <v>135864</v>
      </c>
    </row>
    <row r="1130" spans="3:9" ht="15.95" customHeight="1" thickBot="1" x14ac:dyDescent="0.3">
      <c r="C1130" s="122"/>
      <c r="D1130" s="117" t="s">
        <v>525</v>
      </c>
      <c r="E1130" s="118"/>
      <c r="F1130" s="123" t="s">
        <v>133</v>
      </c>
      <c r="G1130" s="124">
        <v>0.05</v>
      </c>
      <c r="H1130" s="144">
        <f>VLOOKUP(D1130,Bahan,6,FALSE)</f>
        <v>27260</v>
      </c>
      <c r="I1130" s="126">
        <f>G1130*H1130</f>
        <v>1363</v>
      </c>
    </row>
    <row r="1131" spans="3:9" ht="15.95" customHeight="1" thickBot="1" x14ac:dyDescent="0.3">
      <c r="C1131" s="132"/>
      <c r="D1131" s="133"/>
      <c r="E1131" s="134"/>
      <c r="F1131" s="134"/>
      <c r="G1131" s="135" t="s">
        <v>386</v>
      </c>
      <c r="H1131" s="136"/>
      <c r="I1131" s="137">
        <f>SUM(I1129:I1130)</f>
        <v>137227</v>
      </c>
    </row>
    <row r="1132" spans="3:9" ht="15.95" customHeight="1" thickBot="1" x14ac:dyDescent="0.3">
      <c r="C1132" s="116" t="s">
        <v>387</v>
      </c>
      <c r="D1132" s="117" t="s">
        <v>388</v>
      </c>
      <c r="E1132" s="118"/>
      <c r="F1132" s="118"/>
      <c r="G1132" s="165"/>
      <c r="H1132" s="144">
        <f>IF(AND(D1132&lt;&gt;"",F1132&lt;&gt;""),IF(C1132="",IF(F1132="OH",VLOOKUP(D1132,[1]UPAH!$B$3:$G$32,7,0),VLOOKUP(D1132,[1]BAHAN!$A$2:$D$3,4,0)),0),0)</f>
        <v>0</v>
      </c>
      <c r="I1132" s="126">
        <f>G1132*H1132</f>
        <v>0</v>
      </c>
    </row>
    <row r="1133" spans="3:9" ht="15.95" customHeight="1" thickBot="1" x14ac:dyDescent="0.3">
      <c r="C1133" s="132"/>
      <c r="D1133" s="133"/>
      <c r="E1133" s="134"/>
      <c r="F1133" s="134"/>
      <c r="G1133" s="135" t="s">
        <v>389</v>
      </c>
      <c r="H1133" s="136"/>
      <c r="I1133" s="137">
        <f>I1132</f>
        <v>0</v>
      </c>
    </row>
    <row r="1134" spans="3:9" ht="15.95" customHeight="1" x14ac:dyDescent="0.25">
      <c r="C1134" s="158" t="s">
        <v>390</v>
      </c>
      <c r="D1134" s="159" t="s">
        <v>391</v>
      </c>
      <c r="E1134" s="160"/>
      <c r="F1134" s="160"/>
      <c r="G1134" s="161"/>
      <c r="H1134" s="162">
        <f>IF(AND(D1134&lt;&gt;"",F1134&lt;&gt;""),IF(C1134="",IF(F1134="OH",VLOOKUP(D1134,[1]UPAH!$B$3:$G$32,7,0),VLOOKUP(D1134,[1]BAHAN!$A$2:$D$3,4,0)),0),0)</f>
        <v>0</v>
      </c>
      <c r="I1134" s="126">
        <f>SUM(I1123:I1133)/2</f>
        <v>148397</v>
      </c>
    </row>
    <row r="1135" spans="3:9" ht="15.95" customHeight="1" thickBot="1" x14ac:dyDescent="0.3">
      <c r="C1135" s="147" t="s">
        <v>392</v>
      </c>
      <c r="D1135" s="148" t="s">
        <v>393</v>
      </c>
      <c r="E1135" s="149"/>
      <c r="F1135" s="149"/>
      <c r="G1135" s="164">
        <v>0.1</v>
      </c>
      <c r="H1135" s="151"/>
      <c r="I1135" s="146">
        <f>G1135*I1134</f>
        <v>14839.7</v>
      </c>
    </row>
    <row r="1136" spans="3:9" ht="15.95" customHeight="1" thickBot="1" x14ac:dyDescent="0.3">
      <c r="C1136" s="111" t="s">
        <v>394</v>
      </c>
      <c r="D1136" s="112" t="s">
        <v>395</v>
      </c>
      <c r="E1136" s="134"/>
      <c r="F1136" s="134"/>
      <c r="G1136" s="156"/>
      <c r="H1136" s="136">
        <f>IF(AND(D1136&lt;&gt;"",F1136&lt;&gt;""),IF(C1136="",IF(F1136="OH",VLOOKUP(D1136,[1]UPAH!$B$3:$G$32,7,0),VLOOKUP(D1136,[1]BAHAN!$A$2:$D$3,4,0)),0),0)</f>
        <v>0</v>
      </c>
      <c r="I1136" s="137">
        <f>ROUNDDOWN(I1134+I1135,0)</f>
        <v>163236</v>
      </c>
    </row>
    <row r="1137" spans="2:10" ht="15.95" customHeight="1" x14ac:dyDescent="0.25">
      <c r="C1137" s="109"/>
      <c r="D1137" s="109"/>
      <c r="G1137" s="157"/>
      <c r="H1137" s="166"/>
      <c r="I1137" s="110"/>
    </row>
    <row r="1138" spans="2:10" ht="15.95" customHeight="1" thickBot="1" x14ac:dyDescent="0.3">
      <c r="B1138" s="109" t="s">
        <v>584</v>
      </c>
      <c r="C1138" s="104" t="s">
        <v>585</v>
      </c>
      <c r="G1138" s="157"/>
      <c r="J1138" s="110">
        <f>I1155</f>
        <v>332015</v>
      </c>
    </row>
    <row r="1139" spans="2:10" ht="15.95" customHeight="1" thickBot="1" x14ac:dyDescent="0.3">
      <c r="C1139" s="111" t="s">
        <v>328</v>
      </c>
      <c r="D1139" s="112" t="s">
        <v>359</v>
      </c>
      <c r="E1139" s="113" t="s">
        <v>360</v>
      </c>
      <c r="F1139" s="113" t="s">
        <v>330</v>
      </c>
      <c r="G1139" s="114" t="s">
        <v>361</v>
      </c>
      <c r="H1139" s="112" t="s">
        <v>362</v>
      </c>
      <c r="I1139" s="115" t="s">
        <v>363</v>
      </c>
    </row>
    <row r="1140" spans="2:10" ht="15.95" customHeight="1" x14ac:dyDescent="0.25">
      <c r="C1140" s="116" t="s">
        <v>364</v>
      </c>
      <c r="D1140" s="117" t="s">
        <v>365</v>
      </c>
      <c r="E1140" s="118"/>
      <c r="F1140" s="118"/>
      <c r="G1140" s="165"/>
      <c r="H1140" s="144"/>
      <c r="I1140" s="126"/>
    </row>
    <row r="1141" spans="2:10" ht="15.95" customHeight="1" x14ac:dyDescent="0.25">
      <c r="C1141" s="122"/>
      <c r="D1141" s="117" t="s">
        <v>366</v>
      </c>
      <c r="E1141" s="123" t="s">
        <v>367</v>
      </c>
      <c r="F1141" s="123" t="s">
        <v>368</v>
      </c>
      <c r="G1141" s="124">
        <v>0.52</v>
      </c>
      <c r="H1141" s="125">
        <f>VLOOKUP(D1141,Upah,8,FALSE)</f>
        <v>125000</v>
      </c>
      <c r="I1141" s="126">
        <f>G1141*H1141</f>
        <v>65000</v>
      </c>
    </row>
    <row r="1142" spans="2:10" ht="15.95" customHeight="1" x14ac:dyDescent="0.25">
      <c r="C1142" s="122"/>
      <c r="D1142" s="117" t="s">
        <v>369</v>
      </c>
      <c r="E1142" s="123" t="s">
        <v>370</v>
      </c>
      <c r="F1142" s="123" t="s">
        <v>368</v>
      </c>
      <c r="G1142" s="124">
        <v>0.26</v>
      </c>
      <c r="H1142" s="125">
        <f>VLOOKUP(D1142,Upah,8,FALSE)</f>
        <v>150000</v>
      </c>
      <c r="I1142" s="126">
        <f>G1142*H1142</f>
        <v>39000</v>
      </c>
    </row>
    <row r="1143" spans="2:10" ht="15.95" customHeight="1" x14ac:dyDescent="0.25">
      <c r="C1143" s="122"/>
      <c r="D1143" s="117" t="s">
        <v>371</v>
      </c>
      <c r="E1143" s="123" t="s">
        <v>372</v>
      </c>
      <c r="F1143" s="123" t="s">
        <v>368</v>
      </c>
      <c r="G1143" s="124">
        <v>2.5999999999999999E-2</v>
      </c>
      <c r="H1143" s="125">
        <f>VLOOKUP(D1143,Upah,8,FALSE)</f>
        <v>165000</v>
      </c>
      <c r="I1143" s="126">
        <f>G1143*H1143</f>
        <v>4290</v>
      </c>
    </row>
    <row r="1144" spans="2:10" ht="15.95" customHeight="1" thickBot="1" x14ac:dyDescent="0.3">
      <c r="C1144" s="122"/>
      <c r="D1144" s="117" t="s">
        <v>373</v>
      </c>
      <c r="E1144" s="123" t="s">
        <v>374</v>
      </c>
      <c r="F1144" s="123" t="s">
        <v>368</v>
      </c>
      <c r="G1144" s="124">
        <v>2.5999999999999999E-2</v>
      </c>
      <c r="H1144" s="125">
        <f>VLOOKUP(D1144,Upah,8,FALSE)</f>
        <v>170000</v>
      </c>
      <c r="I1144" s="126">
        <f>G1144*H1144</f>
        <v>4420</v>
      </c>
    </row>
    <row r="1145" spans="2:10" ht="15.95" customHeight="1" thickBot="1" x14ac:dyDescent="0.3">
      <c r="C1145" s="132"/>
      <c r="D1145" s="133"/>
      <c r="E1145" s="134"/>
      <c r="F1145" s="134"/>
      <c r="G1145" s="135" t="s">
        <v>375</v>
      </c>
      <c r="H1145" s="136"/>
      <c r="I1145" s="137">
        <f>SUM(I1141:I1144)</f>
        <v>112710</v>
      </c>
    </row>
    <row r="1146" spans="2:10" ht="15.95" customHeight="1" x14ac:dyDescent="0.25">
      <c r="C1146" s="116" t="s">
        <v>376</v>
      </c>
      <c r="D1146" s="117" t="s">
        <v>377</v>
      </c>
      <c r="E1146" s="118"/>
      <c r="F1146" s="118"/>
      <c r="G1146" s="165"/>
      <c r="H1146" s="144"/>
      <c r="I1146" s="126"/>
    </row>
    <row r="1147" spans="2:10" ht="15.95" customHeight="1" x14ac:dyDescent="0.25">
      <c r="C1147" s="122"/>
      <c r="D1147" s="117" t="s">
        <v>586</v>
      </c>
      <c r="E1147" s="118"/>
      <c r="F1147" s="123" t="s">
        <v>158</v>
      </c>
      <c r="G1147" s="124">
        <v>0.04</v>
      </c>
      <c r="H1147" s="144">
        <f>VLOOKUP(D1147,Bahan,6,FALSE)</f>
        <v>4500000</v>
      </c>
      <c r="I1147" s="126">
        <f>G1147*H1147</f>
        <v>180000</v>
      </c>
    </row>
    <row r="1148" spans="2:10" ht="15.95" customHeight="1" x14ac:dyDescent="0.25">
      <c r="C1148" s="122"/>
      <c r="D1148" s="117" t="s">
        <v>587</v>
      </c>
      <c r="E1148" s="118"/>
      <c r="F1148" s="123" t="s">
        <v>133</v>
      </c>
      <c r="G1148" s="124">
        <v>0.3</v>
      </c>
      <c r="H1148" s="144">
        <f>VLOOKUP(D1148,Bahan,6,FALSE)</f>
        <v>27970</v>
      </c>
      <c r="I1148" s="126">
        <f>G1148*H1148</f>
        <v>8391</v>
      </c>
    </row>
    <row r="1149" spans="2:10" ht="15.95" customHeight="1" thickBot="1" x14ac:dyDescent="0.3">
      <c r="C1149" s="122"/>
      <c r="D1149" s="117" t="s">
        <v>588</v>
      </c>
      <c r="E1149" s="118"/>
      <c r="F1149" s="123" t="s">
        <v>385</v>
      </c>
      <c r="G1149" s="124">
        <v>0.1</v>
      </c>
      <c r="H1149" s="144">
        <f>VLOOKUP(D1149,Bahan,6,FALSE)</f>
        <v>7310</v>
      </c>
      <c r="I1149" s="126">
        <f>G1149*H1149</f>
        <v>731</v>
      </c>
    </row>
    <row r="1150" spans="2:10" ht="15.95" customHeight="1" thickBot="1" x14ac:dyDescent="0.3">
      <c r="C1150" s="132"/>
      <c r="D1150" s="133"/>
      <c r="E1150" s="134"/>
      <c r="F1150" s="134"/>
      <c r="G1150" s="135" t="s">
        <v>386</v>
      </c>
      <c r="H1150" s="136"/>
      <c r="I1150" s="137">
        <f>SUM(I1147:I1149)</f>
        <v>189122</v>
      </c>
    </row>
    <row r="1151" spans="2:10" ht="15.95" customHeight="1" thickBot="1" x14ac:dyDescent="0.3">
      <c r="C1151" s="116" t="s">
        <v>387</v>
      </c>
      <c r="D1151" s="117" t="s">
        <v>388</v>
      </c>
      <c r="E1151" s="118"/>
      <c r="F1151" s="118"/>
      <c r="G1151" s="165"/>
      <c r="H1151" s="144">
        <f>IF(AND(D1151&lt;&gt;"",F1151&lt;&gt;""),IF(C1151="",IF(F1151="OH",VLOOKUP(D1151,[1]UPAH!$B$3:$G$32,7,0),VLOOKUP(D1151,[1]BAHAN!$A$2:$D$3,4,0)),0),0)</f>
        <v>0</v>
      </c>
      <c r="I1151" s="126">
        <f>G1151*H1151</f>
        <v>0</v>
      </c>
    </row>
    <row r="1152" spans="2:10" ht="15.95" customHeight="1" thickBot="1" x14ac:dyDescent="0.3">
      <c r="C1152" s="132"/>
      <c r="D1152" s="133"/>
      <c r="E1152" s="134"/>
      <c r="F1152" s="134"/>
      <c r="G1152" s="135" t="s">
        <v>389</v>
      </c>
      <c r="H1152" s="136"/>
      <c r="I1152" s="137">
        <f>I1151</f>
        <v>0</v>
      </c>
    </row>
    <row r="1153" spans="2:10" ht="15.95" customHeight="1" x14ac:dyDescent="0.25">
      <c r="C1153" s="158" t="s">
        <v>390</v>
      </c>
      <c r="D1153" s="159" t="s">
        <v>391</v>
      </c>
      <c r="E1153" s="160"/>
      <c r="F1153" s="160"/>
      <c r="G1153" s="161"/>
      <c r="H1153" s="162">
        <f>IF(AND(D1153&lt;&gt;"",F1153&lt;&gt;""),IF(C1153="",IF(F1153="OH",VLOOKUP(D1153,[1]UPAH!$B$3:$G$32,7,0),VLOOKUP(D1153,[1]BAHAN!$A$2:$D$3,4,0)),0),0)</f>
        <v>0</v>
      </c>
      <c r="I1153" s="126">
        <f>SUM(I1141:I1152)/2</f>
        <v>301832</v>
      </c>
    </row>
    <row r="1154" spans="2:10" ht="15.95" customHeight="1" thickBot="1" x14ac:dyDescent="0.3">
      <c r="C1154" s="147" t="s">
        <v>392</v>
      </c>
      <c r="D1154" s="148" t="s">
        <v>393</v>
      </c>
      <c r="E1154" s="149"/>
      <c r="F1154" s="149"/>
      <c r="G1154" s="164">
        <v>0.1</v>
      </c>
      <c r="H1154" s="151"/>
      <c r="I1154" s="146">
        <f>G1154*I1153</f>
        <v>30183.200000000001</v>
      </c>
    </row>
    <row r="1155" spans="2:10" ht="15.95" customHeight="1" thickBot="1" x14ac:dyDescent="0.3">
      <c r="C1155" s="111" t="s">
        <v>394</v>
      </c>
      <c r="D1155" s="112" t="s">
        <v>395</v>
      </c>
      <c r="E1155" s="134"/>
      <c r="F1155" s="134"/>
      <c r="G1155" s="156"/>
      <c r="H1155" s="136">
        <f>IF(AND(D1155&lt;&gt;"",F1155&lt;&gt;""),IF(C1155="",IF(F1155="OH",VLOOKUP(D1155,[1]UPAH!$B$3:$G$32,7,0),VLOOKUP(D1155,[1]BAHAN!$A$2:$D$3,4,0)),0),0)</f>
        <v>0</v>
      </c>
      <c r="I1155" s="137">
        <f>ROUNDDOWN(I1153+I1154,0)</f>
        <v>332015</v>
      </c>
    </row>
    <row r="1156" spans="2:10" ht="15.95" customHeight="1" x14ac:dyDescent="0.25">
      <c r="C1156" s="109"/>
      <c r="D1156" s="109"/>
      <c r="G1156" s="157"/>
      <c r="H1156" s="166"/>
      <c r="I1156" s="110"/>
    </row>
    <row r="1157" spans="2:10" ht="15.95" customHeight="1" thickBot="1" x14ac:dyDescent="0.3">
      <c r="B1157" s="247" t="s">
        <v>589</v>
      </c>
      <c r="C1157" s="104" t="s">
        <v>590</v>
      </c>
      <c r="G1157" s="157"/>
      <c r="J1157" s="110">
        <f>I1174</f>
        <v>356765</v>
      </c>
    </row>
    <row r="1158" spans="2:10" ht="15.95" customHeight="1" thickBot="1" x14ac:dyDescent="0.3">
      <c r="C1158" s="111" t="s">
        <v>328</v>
      </c>
      <c r="D1158" s="112" t="s">
        <v>359</v>
      </c>
      <c r="E1158" s="113" t="s">
        <v>360</v>
      </c>
      <c r="F1158" s="113" t="s">
        <v>330</v>
      </c>
      <c r="G1158" s="114" t="s">
        <v>361</v>
      </c>
      <c r="H1158" s="112" t="s">
        <v>362</v>
      </c>
      <c r="I1158" s="115" t="s">
        <v>363</v>
      </c>
    </row>
    <row r="1159" spans="2:10" ht="15.95" customHeight="1" x14ac:dyDescent="0.25">
      <c r="C1159" s="116" t="s">
        <v>364</v>
      </c>
      <c r="D1159" s="117" t="s">
        <v>365</v>
      </c>
      <c r="E1159" s="118"/>
      <c r="F1159" s="118"/>
      <c r="G1159" s="165"/>
      <c r="H1159" s="144"/>
      <c r="I1159" s="126"/>
    </row>
    <row r="1160" spans="2:10" ht="15.95" customHeight="1" x14ac:dyDescent="0.25">
      <c r="C1160" s="122"/>
      <c r="D1160" s="117" t="s">
        <v>366</v>
      </c>
      <c r="E1160" s="123" t="s">
        <v>367</v>
      </c>
      <c r="F1160" s="123" t="s">
        <v>368</v>
      </c>
      <c r="G1160" s="124">
        <v>0.52</v>
      </c>
      <c r="H1160" s="125">
        <f>VLOOKUP(D1160,Upah,8,FALSE)</f>
        <v>125000</v>
      </c>
      <c r="I1160" s="126">
        <f>G1160*H1160</f>
        <v>65000</v>
      </c>
    </row>
    <row r="1161" spans="2:10" ht="15.95" customHeight="1" x14ac:dyDescent="0.25">
      <c r="C1161" s="122"/>
      <c r="D1161" s="117" t="s">
        <v>369</v>
      </c>
      <c r="E1161" s="123" t="s">
        <v>370</v>
      </c>
      <c r="F1161" s="123" t="s">
        <v>368</v>
      </c>
      <c r="G1161" s="124">
        <v>0.26</v>
      </c>
      <c r="H1161" s="125">
        <f>VLOOKUP(D1161,Upah,8,FALSE)</f>
        <v>150000</v>
      </c>
      <c r="I1161" s="126">
        <f>G1161*H1161</f>
        <v>39000</v>
      </c>
    </row>
    <row r="1162" spans="2:10" ht="15.95" customHeight="1" x14ac:dyDescent="0.25">
      <c r="C1162" s="122"/>
      <c r="D1162" s="117" t="s">
        <v>371</v>
      </c>
      <c r="E1162" s="123" t="s">
        <v>372</v>
      </c>
      <c r="F1162" s="123" t="s">
        <v>368</v>
      </c>
      <c r="G1162" s="124">
        <v>2.5999999999999999E-2</v>
      </c>
      <c r="H1162" s="125">
        <f>VLOOKUP(D1162,Upah,8,FALSE)</f>
        <v>165000</v>
      </c>
      <c r="I1162" s="126">
        <f>G1162*H1162</f>
        <v>4290</v>
      </c>
    </row>
    <row r="1163" spans="2:10" ht="15.95" customHeight="1" thickBot="1" x14ac:dyDescent="0.3">
      <c r="C1163" s="122"/>
      <c r="D1163" s="117" t="s">
        <v>373</v>
      </c>
      <c r="E1163" s="123" t="s">
        <v>374</v>
      </c>
      <c r="F1163" s="123" t="s">
        <v>368</v>
      </c>
      <c r="G1163" s="124">
        <v>2.5999999999999999E-2</v>
      </c>
      <c r="H1163" s="125">
        <f>VLOOKUP(D1163,Upah,8,FALSE)</f>
        <v>170000</v>
      </c>
      <c r="I1163" s="126">
        <f>G1163*H1163</f>
        <v>4420</v>
      </c>
    </row>
    <row r="1164" spans="2:10" ht="15.95" customHeight="1" thickBot="1" x14ac:dyDescent="0.3">
      <c r="C1164" s="132"/>
      <c r="D1164" s="133"/>
      <c r="E1164" s="134"/>
      <c r="F1164" s="134"/>
      <c r="G1164" s="135" t="s">
        <v>375</v>
      </c>
      <c r="H1164" s="136"/>
      <c r="I1164" s="137">
        <f>SUM(I1160:I1163)</f>
        <v>112710</v>
      </c>
    </row>
    <row r="1165" spans="2:10" ht="15.95" customHeight="1" x14ac:dyDescent="0.25">
      <c r="C1165" s="116" t="s">
        <v>376</v>
      </c>
      <c r="D1165" s="117" t="s">
        <v>377</v>
      </c>
      <c r="E1165" s="118"/>
      <c r="F1165" s="118"/>
      <c r="G1165" s="165"/>
      <c r="H1165" s="144"/>
      <c r="I1165" s="126"/>
    </row>
    <row r="1166" spans="2:10" ht="15.95" customHeight="1" x14ac:dyDescent="0.25">
      <c r="C1166" s="122"/>
      <c r="D1166" s="117" t="s">
        <v>586</v>
      </c>
      <c r="E1166" s="118"/>
      <c r="F1166" s="123" t="s">
        <v>158</v>
      </c>
      <c r="G1166" s="124">
        <v>4.4999999999999998E-2</v>
      </c>
      <c r="H1166" s="144">
        <f>VLOOKUP(D1166,Bahan,6,FALSE)</f>
        <v>4500000</v>
      </c>
      <c r="I1166" s="126">
        <f>G1166*H1166</f>
        <v>202500</v>
      </c>
    </row>
    <row r="1167" spans="2:10" ht="15.95" customHeight="1" x14ac:dyDescent="0.25">
      <c r="C1167" s="122"/>
      <c r="D1167" s="117" t="s">
        <v>587</v>
      </c>
      <c r="E1167" s="118"/>
      <c r="F1167" s="123" t="s">
        <v>133</v>
      </c>
      <c r="G1167" s="124">
        <v>0.3</v>
      </c>
      <c r="H1167" s="144">
        <f>VLOOKUP(D1167,Bahan,6,FALSE)</f>
        <v>27970</v>
      </c>
      <c r="I1167" s="126">
        <f>G1167*H1167</f>
        <v>8391</v>
      </c>
    </row>
    <row r="1168" spans="2:10" ht="15.95" customHeight="1" thickBot="1" x14ac:dyDescent="0.3">
      <c r="C1168" s="122"/>
      <c r="D1168" s="117" t="s">
        <v>588</v>
      </c>
      <c r="E1168" s="118"/>
      <c r="F1168" s="123" t="s">
        <v>385</v>
      </c>
      <c r="G1168" s="124">
        <v>0.1</v>
      </c>
      <c r="H1168" s="144">
        <f>VLOOKUP(D1168,Bahan,6,FALSE)</f>
        <v>7310</v>
      </c>
      <c r="I1168" s="126">
        <f>G1168*H1168</f>
        <v>731</v>
      </c>
    </row>
    <row r="1169" spans="2:10" ht="15.95" customHeight="1" thickBot="1" x14ac:dyDescent="0.3">
      <c r="C1169" s="132"/>
      <c r="D1169" s="133"/>
      <c r="E1169" s="134"/>
      <c r="F1169" s="134"/>
      <c r="G1169" s="135" t="s">
        <v>386</v>
      </c>
      <c r="H1169" s="136"/>
      <c r="I1169" s="137">
        <f>SUM(I1166:I1168)</f>
        <v>211622</v>
      </c>
    </row>
    <row r="1170" spans="2:10" ht="15.95" customHeight="1" thickBot="1" x14ac:dyDescent="0.3">
      <c r="C1170" s="116" t="s">
        <v>387</v>
      </c>
      <c r="D1170" s="117" t="s">
        <v>388</v>
      </c>
      <c r="E1170" s="118"/>
      <c r="F1170" s="118"/>
      <c r="G1170" s="165"/>
      <c r="H1170" s="144">
        <f>IF(AND(D1170&lt;&gt;"",F1170&lt;&gt;""),IF(C1170="",IF(F1170="OH",VLOOKUP(D1170,[1]UPAH!$B$3:$G$32,7,0),VLOOKUP(D1170,[1]BAHAN!$A$2:$D$3,4,0)),0),0)</f>
        <v>0</v>
      </c>
      <c r="I1170" s="126">
        <f>G1170*H1170</f>
        <v>0</v>
      </c>
    </row>
    <row r="1171" spans="2:10" ht="15.95" customHeight="1" thickBot="1" x14ac:dyDescent="0.3">
      <c r="C1171" s="132"/>
      <c r="D1171" s="133"/>
      <c r="E1171" s="134"/>
      <c r="F1171" s="134"/>
      <c r="G1171" s="135" t="s">
        <v>389</v>
      </c>
      <c r="H1171" s="136"/>
      <c r="I1171" s="137">
        <f>I1170</f>
        <v>0</v>
      </c>
    </row>
    <row r="1172" spans="2:10" ht="15.95" customHeight="1" x14ac:dyDescent="0.25">
      <c r="C1172" s="158" t="s">
        <v>390</v>
      </c>
      <c r="D1172" s="159" t="s">
        <v>391</v>
      </c>
      <c r="E1172" s="160"/>
      <c r="F1172" s="160"/>
      <c r="G1172" s="161"/>
      <c r="H1172" s="162">
        <f>IF(AND(D1172&lt;&gt;"",F1172&lt;&gt;""),IF(C1172="",IF(F1172="OH",VLOOKUP(D1172,[1]UPAH!$B$3:$G$32,7,0),VLOOKUP(D1172,[1]BAHAN!$A$2:$D$3,4,0)),0),0)</f>
        <v>0</v>
      </c>
      <c r="I1172" s="126">
        <f>SUM(I1159:I1171)/2</f>
        <v>324332</v>
      </c>
    </row>
    <row r="1173" spans="2:10" ht="15.95" customHeight="1" thickBot="1" x14ac:dyDescent="0.3">
      <c r="C1173" s="147" t="s">
        <v>392</v>
      </c>
      <c r="D1173" s="148" t="s">
        <v>393</v>
      </c>
      <c r="E1173" s="149"/>
      <c r="F1173" s="149"/>
      <c r="G1173" s="164">
        <v>0.1</v>
      </c>
      <c r="H1173" s="151"/>
      <c r="I1173" s="146">
        <f>G1173*I1172</f>
        <v>32433.200000000001</v>
      </c>
    </row>
    <row r="1174" spans="2:10" ht="15.95" customHeight="1" thickBot="1" x14ac:dyDescent="0.3">
      <c r="C1174" s="111" t="s">
        <v>394</v>
      </c>
      <c r="D1174" s="112" t="s">
        <v>395</v>
      </c>
      <c r="E1174" s="134"/>
      <c r="F1174" s="134"/>
      <c r="G1174" s="156"/>
      <c r="H1174" s="136">
        <f>IF(AND(D1174&lt;&gt;"",F1174&lt;&gt;""),IF(C1174="",IF(F1174="OH",VLOOKUP(D1174,[1]UPAH!$B$3:$G$32,7,0),VLOOKUP(D1174,[1]BAHAN!$A$2:$D$3,4,0)),0),0)</f>
        <v>0</v>
      </c>
      <c r="I1174" s="137">
        <f>ROUNDDOWN(I1172+I1173,0)</f>
        <v>356765</v>
      </c>
    </row>
    <row r="1175" spans="2:10" ht="15.95" customHeight="1" x14ac:dyDescent="0.25">
      <c r="C1175" s="109"/>
      <c r="D1175" s="109"/>
      <c r="G1175" s="157"/>
    </row>
    <row r="1176" spans="2:10" ht="15.95" customHeight="1" thickBot="1" x14ac:dyDescent="0.3">
      <c r="B1176" s="247" t="s">
        <v>591</v>
      </c>
      <c r="C1176" s="104" t="s">
        <v>592</v>
      </c>
      <c r="G1176" s="157"/>
      <c r="J1176" s="110">
        <f>I1196</f>
        <v>562765</v>
      </c>
    </row>
    <row r="1177" spans="2:10" ht="15.95" customHeight="1" thickBot="1" x14ac:dyDescent="0.3">
      <c r="C1177" s="111" t="s">
        <v>328</v>
      </c>
      <c r="D1177" s="112" t="s">
        <v>359</v>
      </c>
      <c r="E1177" s="113" t="s">
        <v>360</v>
      </c>
      <c r="F1177" s="113" t="s">
        <v>330</v>
      </c>
      <c r="G1177" s="114" t="s">
        <v>361</v>
      </c>
      <c r="H1177" s="112" t="s">
        <v>362</v>
      </c>
      <c r="I1177" s="115" t="s">
        <v>363</v>
      </c>
    </row>
    <row r="1178" spans="2:10" ht="15.95" customHeight="1" x14ac:dyDescent="0.25">
      <c r="C1178" s="116" t="s">
        <v>364</v>
      </c>
      <c r="D1178" s="117" t="s">
        <v>365</v>
      </c>
      <c r="E1178" s="118"/>
      <c r="F1178" s="118"/>
      <c r="G1178" s="165"/>
      <c r="H1178" s="144"/>
      <c r="I1178" s="126"/>
    </row>
    <row r="1179" spans="2:10" ht="15.95" customHeight="1" x14ac:dyDescent="0.25">
      <c r="C1179" s="122"/>
      <c r="D1179" s="117" t="s">
        <v>366</v>
      </c>
      <c r="E1179" s="123" t="s">
        <v>367</v>
      </c>
      <c r="F1179" s="123" t="s">
        <v>368</v>
      </c>
      <c r="G1179" s="124">
        <v>0.66</v>
      </c>
      <c r="H1179" s="125">
        <f>VLOOKUP(D1179,Upah,8,FALSE)</f>
        <v>125000</v>
      </c>
      <c r="I1179" s="126">
        <f>G1179*H1179</f>
        <v>82500</v>
      </c>
    </row>
    <row r="1180" spans="2:10" ht="15.95" customHeight="1" x14ac:dyDescent="0.25">
      <c r="C1180" s="122"/>
      <c r="D1180" s="117" t="s">
        <v>369</v>
      </c>
      <c r="E1180" s="123" t="s">
        <v>370</v>
      </c>
      <c r="F1180" s="123" t="s">
        <v>368</v>
      </c>
      <c r="G1180" s="124">
        <v>0.33</v>
      </c>
      <c r="H1180" s="125">
        <f>VLOOKUP(D1180,Upah,8,FALSE)</f>
        <v>150000</v>
      </c>
      <c r="I1180" s="126">
        <f>G1180*H1180</f>
        <v>49500</v>
      </c>
    </row>
    <row r="1181" spans="2:10" ht="15.95" customHeight="1" x14ac:dyDescent="0.25">
      <c r="C1181" s="122"/>
      <c r="D1181" s="117" t="s">
        <v>371</v>
      </c>
      <c r="E1181" s="123" t="s">
        <v>372</v>
      </c>
      <c r="F1181" s="123" t="s">
        <v>368</v>
      </c>
      <c r="G1181" s="124">
        <v>3.3000000000000002E-2</v>
      </c>
      <c r="H1181" s="125">
        <f>VLOOKUP(D1181,Upah,8,FALSE)</f>
        <v>165000</v>
      </c>
      <c r="I1181" s="126">
        <f>G1181*H1181</f>
        <v>5445</v>
      </c>
    </row>
    <row r="1182" spans="2:10" ht="15.95" customHeight="1" thickBot="1" x14ac:dyDescent="0.3">
      <c r="C1182" s="122"/>
      <c r="D1182" s="117" t="s">
        <v>373</v>
      </c>
      <c r="E1182" s="123" t="s">
        <v>374</v>
      </c>
      <c r="F1182" s="123" t="s">
        <v>368</v>
      </c>
      <c r="G1182" s="124">
        <v>3.3000000000000002E-2</v>
      </c>
      <c r="H1182" s="125">
        <f>VLOOKUP(D1182,Upah,8,FALSE)</f>
        <v>170000</v>
      </c>
      <c r="I1182" s="126">
        <f>G1182*H1182</f>
        <v>5610</v>
      </c>
    </row>
    <row r="1183" spans="2:10" ht="15.95" customHeight="1" thickBot="1" x14ac:dyDescent="0.3">
      <c r="C1183" s="132"/>
      <c r="D1183" s="133"/>
      <c r="E1183" s="134"/>
      <c r="F1183" s="134"/>
      <c r="G1183" s="135" t="s">
        <v>375</v>
      </c>
      <c r="H1183" s="136"/>
      <c r="I1183" s="137">
        <f>SUM(I1179:I1182)</f>
        <v>143055</v>
      </c>
    </row>
    <row r="1184" spans="2:10" ht="15.95" customHeight="1" x14ac:dyDescent="0.25">
      <c r="C1184" s="116" t="s">
        <v>376</v>
      </c>
      <c r="D1184" s="117" t="s">
        <v>377</v>
      </c>
      <c r="E1184" s="118"/>
      <c r="F1184" s="118"/>
      <c r="G1184" s="165"/>
      <c r="H1184" s="144"/>
      <c r="I1184" s="126"/>
    </row>
    <row r="1185" spans="2:10" ht="15.95" customHeight="1" x14ac:dyDescent="0.25">
      <c r="C1185" s="122"/>
      <c r="D1185" s="117" t="s">
        <v>586</v>
      </c>
      <c r="E1185" s="118"/>
      <c r="F1185" s="123" t="s">
        <v>158</v>
      </c>
      <c r="G1185" s="124">
        <v>0.04</v>
      </c>
      <c r="H1185" s="144">
        <f t="shared" ref="H1185:H1190" si="15">VLOOKUP(D1185,Bahan,6,FALSE)</f>
        <v>4500000</v>
      </c>
      <c r="I1185" s="126">
        <f t="shared" ref="I1185:I1190" si="16">G1185*H1185</f>
        <v>180000</v>
      </c>
    </row>
    <row r="1186" spans="2:10" ht="15.95" customHeight="1" x14ac:dyDescent="0.25">
      <c r="C1186" s="122"/>
      <c r="D1186" s="117" t="s">
        <v>593</v>
      </c>
      <c r="E1186" s="118"/>
      <c r="F1186" s="123" t="s">
        <v>133</v>
      </c>
      <c r="G1186" s="124">
        <v>0.4</v>
      </c>
      <c r="H1186" s="144">
        <f t="shared" si="15"/>
        <v>27970</v>
      </c>
      <c r="I1186" s="126">
        <f t="shared" si="16"/>
        <v>11188</v>
      </c>
    </row>
    <row r="1187" spans="2:10" ht="15.95" customHeight="1" x14ac:dyDescent="0.25">
      <c r="C1187" s="122"/>
      <c r="D1187" s="117" t="s">
        <v>588</v>
      </c>
      <c r="E1187" s="118"/>
      <c r="F1187" s="123" t="s">
        <v>385</v>
      </c>
      <c r="G1187" s="124">
        <v>0.2</v>
      </c>
      <c r="H1187" s="144">
        <f t="shared" si="15"/>
        <v>7310</v>
      </c>
      <c r="I1187" s="126">
        <f t="shared" si="16"/>
        <v>1462</v>
      </c>
    </row>
    <row r="1188" spans="2:10" ht="15.95" customHeight="1" x14ac:dyDescent="0.25">
      <c r="C1188" s="122"/>
      <c r="D1188" s="117" t="s">
        <v>594</v>
      </c>
      <c r="E1188" s="118"/>
      <c r="F1188" s="123" t="s">
        <v>158</v>
      </c>
      <c r="G1188" s="124">
        <v>1.4999999999999999E-2</v>
      </c>
      <c r="H1188" s="144">
        <f t="shared" si="15"/>
        <v>4410000</v>
      </c>
      <c r="I1188" s="126">
        <f t="shared" si="16"/>
        <v>66150</v>
      </c>
    </row>
    <row r="1189" spans="2:10" ht="15.95" customHeight="1" x14ac:dyDescent="0.25">
      <c r="C1189" s="122"/>
      <c r="D1189" s="117" t="s">
        <v>595</v>
      </c>
      <c r="E1189" s="118"/>
      <c r="F1189" s="123" t="s">
        <v>399</v>
      </c>
      <c r="G1189" s="124">
        <v>0.35</v>
      </c>
      <c r="H1189" s="144">
        <f t="shared" si="15"/>
        <v>135000</v>
      </c>
      <c r="I1189" s="126">
        <f t="shared" si="16"/>
        <v>47250</v>
      </c>
    </row>
    <row r="1190" spans="2:10" ht="15.95" customHeight="1" thickBot="1" x14ac:dyDescent="0.3">
      <c r="C1190" s="122"/>
      <c r="D1190" s="117" t="s">
        <v>378</v>
      </c>
      <c r="E1190" s="118"/>
      <c r="F1190" s="123" t="s">
        <v>379</v>
      </c>
      <c r="G1190" s="165">
        <v>2</v>
      </c>
      <c r="H1190" s="144">
        <f t="shared" si="15"/>
        <v>31250</v>
      </c>
      <c r="I1190" s="126">
        <f t="shared" si="16"/>
        <v>62500</v>
      </c>
    </row>
    <row r="1191" spans="2:10" ht="15.95" customHeight="1" thickBot="1" x14ac:dyDescent="0.3">
      <c r="C1191" s="132"/>
      <c r="D1191" s="133"/>
      <c r="E1191" s="134"/>
      <c r="F1191" s="134"/>
      <c r="G1191" s="135" t="s">
        <v>386</v>
      </c>
      <c r="H1191" s="136"/>
      <c r="I1191" s="137">
        <f>SUM(I1185:I1190)</f>
        <v>368550</v>
      </c>
    </row>
    <row r="1192" spans="2:10" ht="15.95" customHeight="1" thickBot="1" x14ac:dyDescent="0.3">
      <c r="C1192" s="116" t="s">
        <v>387</v>
      </c>
      <c r="D1192" s="117" t="s">
        <v>388</v>
      </c>
      <c r="E1192" s="118"/>
      <c r="F1192" s="118"/>
      <c r="G1192" s="165"/>
      <c r="H1192" s="144">
        <f>IF(AND(D1192&lt;&gt;"",F1192&lt;&gt;""),IF(C1192="",IF(F1192="OH",VLOOKUP(D1192,[1]UPAH!$B$3:$G$32,7,0),VLOOKUP(D1192,[1]BAHAN!$A$2:$D$3,4,0)),0),0)</f>
        <v>0</v>
      </c>
      <c r="I1192" s="126">
        <f>G1192*H1192</f>
        <v>0</v>
      </c>
    </row>
    <row r="1193" spans="2:10" ht="15.95" customHeight="1" thickBot="1" x14ac:dyDescent="0.3">
      <c r="C1193" s="132"/>
      <c r="D1193" s="133"/>
      <c r="E1193" s="134"/>
      <c r="F1193" s="134"/>
      <c r="G1193" s="135" t="s">
        <v>389</v>
      </c>
      <c r="H1193" s="136"/>
      <c r="I1193" s="137">
        <f>I1192</f>
        <v>0</v>
      </c>
    </row>
    <row r="1194" spans="2:10" ht="15.95" customHeight="1" x14ac:dyDescent="0.25">
      <c r="C1194" s="158" t="s">
        <v>390</v>
      </c>
      <c r="D1194" s="159" t="s">
        <v>391</v>
      </c>
      <c r="E1194" s="160"/>
      <c r="F1194" s="160"/>
      <c r="G1194" s="161"/>
      <c r="H1194" s="162">
        <f>IF(AND(D1194&lt;&gt;"",F1194&lt;&gt;""),IF(C1194="",IF(F1194="OH",VLOOKUP(D1194,[1]UPAH!$B$3:$G$32,7,0),VLOOKUP(D1194,[1]BAHAN!$A$2:$D$3,4,0)),0),0)</f>
        <v>0</v>
      </c>
      <c r="I1194" s="126">
        <f>SUM(I1178:I1193)/2</f>
        <v>511605</v>
      </c>
    </row>
    <row r="1195" spans="2:10" ht="15.95" customHeight="1" thickBot="1" x14ac:dyDescent="0.3">
      <c r="C1195" s="147" t="s">
        <v>392</v>
      </c>
      <c r="D1195" s="148" t="s">
        <v>393</v>
      </c>
      <c r="E1195" s="149"/>
      <c r="F1195" s="149"/>
      <c r="G1195" s="164">
        <v>0.1</v>
      </c>
      <c r="H1195" s="151"/>
      <c r="I1195" s="146">
        <f>G1195*I1194</f>
        <v>51160.5</v>
      </c>
    </row>
    <row r="1196" spans="2:10" ht="15.95" customHeight="1" thickBot="1" x14ac:dyDescent="0.3">
      <c r="C1196" s="111" t="s">
        <v>394</v>
      </c>
      <c r="D1196" s="112" t="s">
        <v>395</v>
      </c>
      <c r="E1196" s="134"/>
      <c r="F1196" s="134"/>
      <c r="G1196" s="156"/>
      <c r="H1196" s="136">
        <f>IF(AND(D1196&lt;&gt;"",F1196&lt;&gt;""),IF(C1196="",IF(F1196="OH",VLOOKUP(D1196,[1]UPAH!$B$3:$G$32,7,0),VLOOKUP(D1196,[1]BAHAN!$A$2:$D$3,4,0)),0),0)</f>
        <v>0</v>
      </c>
      <c r="I1196" s="137">
        <f>ROUNDDOWN(I1194+I1195,0)</f>
        <v>562765</v>
      </c>
    </row>
    <row r="1197" spans="2:10" ht="15.95" customHeight="1" x14ac:dyDescent="0.25">
      <c r="C1197" s="109"/>
      <c r="D1197" s="109"/>
      <c r="G1197" s="157"/>
      <c r="H1197" s="166"/>
      <c r="I1197" s="110"/>
    </row>
    <row r="1198" spans="2:10" ht="15.95" customHeight="1" thickBot="1" x14ac:dyDescent="0.3">
      <c r="B1198" s="247" t="s">
        <v>596</v>
      </c>
      <c r="C1198" s="104" t="s">
        <v>597</v>
      </c>
      <c r="G1198" s="157"/>
      <c r="J1198" s="110">
        <f>I1218</f>
        <v>577318</v>
      </c>
    </row>
    <row r="1199" spans="2:10" ht="15.95" customHeight="1" thickBot="1" x14ac:dyDescent="0.3">
      <c r="C1199" s="111" t="s">
        <v>328</v>
      </c>
      <c r="D1199" s="112" t="s">
        <v>359</v>
      </c>
      <c r="E1199" s="113" t="s">
        <v>360</v>
      </c>
      <c r="F1199" s="113" t="s">
        <v>330</v>
      </c>
      <c r="G1199" s="114" t="s">
        <v>361</v>
      </c>
      <c r="H1199" s="112" t="s">
        <v>362</v>
      </c>
      <c r="I1199" s="115" t="s">
        <v>363</v>
      </c>
    </row>
    <row r="1200" spans="2:10" ht="15.95" customHeight="1" x14ac:dyDescent="0.25">
      <c r="C1200" s="116" t="s">
        <v>364</v>
      </c>
      <c r="D1200" s="117" t="s">
        <v>365</v>
      </c>
      <c r="E1200" s="118"/>
      <c r="F1200" s="118"/>
      <c r="G1200" s="165"/>
      <c r="H1200" s="144"/>
      <c r="I1200" s="126"/>
    </row>
    <row r="1201" spans="3:9" ht="15.95" customHeight="1" x14ac:dyDescent="0.25">
      <c r="C1201" s="122"/>
      <c r="D1201" s="117" t="s">
        <v>366</v>
      </c>
      <c r="E1201" s="123" t="s">
        <v>367</v>
      </c>
      <c r="F1201" s="123" t="s">
        <v>368</v>
      </c>
      <c r="G1201" s="124">
        <v>0.66</v>
      </c>
      <c r="H1201" s="125">
        <f>VLOOKUP(D1201,Upah,8,FALSE)</f>
        <v>125000</v>
      </c>
      <c r="I1201" s="126">
        <f>G1201*H1201</f>
        <v>82500</v>
      </c>
    </row>
    <row r="1202" spans="3:9" ht="15.95" customHeight="1" x14ac:dyDescent="0.25">
      <c r="C1202" s="122"/>
      <c r="D1202" s="117" t="s">
        <v>369</v>
      </c>
      <c r="E1202" s="123" t="s">
        <v>370</v>
      </c>
      <c r="F1202" s="123" t="s">
        <v>368</v>
      </c>
      <c r="G1202" s="124">
        <v>0.33</v>
      </c>
      <c r="H1202" s="125">
        <f>VLOOKUP(D1202,Upah,8,FALSE)</f>
        <v>150000</v>
      </c>
      <c r="I1202" s="126">
        <f>G1202*H1202</f>
        <v>49500</v>
      </c>
    </row>
    <row r="1203" spans="3:9" ht="15.95" customHeight="1" x14ac:dyDescent="0.25">
      <c r="C1203" s="122"/>
      <c r="D1203" s="117" t="s">
        <v>371</v>
      </c>
      <c r="E1203" s="123" t="s">
        <v>372</v>
      </c>
      <c r="F1203" s="123" t="s">
        <v>368</v>
      </c>
      <c r="G1203" s="124">
        <v>3.3000000000000002E-2</v>
      </c>
      <c r="H1203" s="125">
        <f>VLOOKUP(D1203,Upah,8,FALSE)</f>
        <v>165000</v>
      </c>
      <c r="I1203" s="126">
        <f>G1203*H1203</f>
        <v>5445</v>
      </c>
    </row>
    <row r="1204" spans="3:9" ht="15.95" customHeight="1" thickBot="1" x14ac:dyDescent="0.3">
      <c r="C1204" s="122"/>
      <c r="D1204" s="117" t="s">
        <v>373</v>
      </c>
      <c r="E1204" s="123" t="s">
        <v>374</v>
      </c>
      <c r="F1204" s="123" t="s">
        <v>368</v>
      </c>
      <c r="G1204" s="124">
        <v>3.3000000000000002E-2</v>
      </c>
      <c r="H1204" s="125">
        <f>VLOOKUP(D1204,Upah,8,FALSE)</f>
        <v>170000</v>
      </c>
      <c r="I1204" s="126">
        <f>G1204*H1204</f>
        <v>5610</v>
      </c>
    </row>
    <row r="1205" spans="3:9" ht="15.95" customHeight="1" thickBot="1" x14ac:dyDescent="0.3">
      <c r="C1205" s="132"/>
      <c r="D1205" s="133"/>
      <c r="E1205" s="134"/>
      <c r="F1205" s="134"/>
      <c r="G1205" s="135" t="s">
        <v>375</v>
      </c>
      <c r="H1205" s="136"/>
      <c r="I1205" s="137">
        <f>SUM(I1201:I1204)</f>
        <v>143055</v>
      </c>
    </row>
    <row r="1206" spans="3:9" ht="15.95" customHeight="1" x14ac:dyDescent="0.25">
      <c r="C1206" s="116" t="s">
        <v>376</v>
      </c>
      <c r="D1206" s="117" t="s">
        <v>377</v>
      </c>
      <c r="E1206" s="118"/>
      <c r="F1206" s="118"/>
      <c r="G1206" s="165"/>
      <c r="H1206" s="144"/>
      <c r="I1206" s="126"/>
    </row>
    <row r="1207" spans="3:9" ht="15.95" customHeight="1" x14ac:dyDescent="0.25">
      <c r="C1207" s="122"/>
      <c r="D1207" s="117" t="s">
        <v>586</v>
      </c>
      <c r="E1207" s="118"/>
      <c r="F1207" s="123" t="s">
        <v>158</v>
      </c>
      <c r="G1207" s="124">
        <v>0.04</v>
      </c>
      <c r="H1207" s="144">
        <f t="shared" ref="H1207:H1212" si="17">VLOOKUP(D1207,Bahan,6,FALSE)</f>
        <v>4500000</v>
      </c>
      <c r="I1207" s="126">
        <f t="shared" ref="I1207:I1212" si="18">G1207*H1207</f>
        <v>180000</v>
      </c>
    </row>
    <row r="1208" spans="3:9" ht="15.95" customHeight="1" x14ac:dyDescent="0.25">
      <c r="C1208" s="122"/>
      <c r="D1208" s="117" t="s">
        <v>593</v>
      </c>
      <c r="E1208" s="118"/>
      <c r="F1208" s="123" t="s">
        <v>133</v>
      </c>
      <c r="G1208" s="124">
        <v>0.4</v>
      </c>
      <c r="H1208" s="144">
        <f t="shared" si="17"/>
        <v>27970</v>
      </c>
      <c r="I1208" s="126">
        <f t="shared" si="18"/>
        <v>11188</v>
      </c>
    </row>
    <row r="1209" spans="3:9" ht="15.95" customHeight="1" x14ac:dyDescent="0.25">
      <c r="C1209" s="122"/>
      <c r="D1209" s="117" t="s">
        <v>588</v>
      </c>
      <c r="E1209" s="118"/>
      <c r="F1209" s="123" t="s">
        <v>385</v>
      </c>
      <c r="G1209" s="124">
        <v>0.2</v>
      </c>
      <c r="H1209" s="144">
        <f t="shared" si="17"/>
        <v>7310</v>
      </c>
      <c r="I1209" s="126">
        <f t="shared" si="18"/>
        <v>1462</v>
      </c>
    </row>
    <row r="1210" spans="3:9" ht="15.95" customHeight="1" x14ac:dyDescent="0.25">
      <c r="C1210" s="122"/>
      <c r="D1210" s="117" t="s">
        <v>594</v>
      </c>
      <c r="E1210" s="118"/>
      <c r="F1210" s="123" t="s">
        <v>158</v>
      </c>
      <c r="G1210" s="124">
        <v>1.7999999999999999E-2</v>
      </c>
      <c r="H1210" s="144">
        <f t="shared" si="17"/>
        <v>4410000</v>
      </c>
      <c r="I1210" s="126">
        <f t="shared" si="18"/>
        <v>79380</v>
      </c>
    </row>
    <row r="1211" spans="3:9" ht="15.95" customHeight="1" x14ac:dyDescent="0.25">
      <c r="C1211" s="122"/>
      <c r="D1211" s="117" t="s">
        <v>595</v>
      </c>
      <c r="E1211" s="118"/>
      <c r="F1211" s="123" t="s">
        <v>399</v>
      </c>
      <c r="G1211" s="124">
        <v>0.35</v>
      </c>
      <c r="H1211" s="144">
        <f t="shared" si="17"/>
        <v>135000</v>
      </c>
      <c r="I1211" s="126">
        <f t="shared" si="18"/>
        <v>47250</v>
      </c>
    </row>
    <row r="1212" spans="3:9" ht="15.95" customHeight="1" thickBot="1" x14ac:dyDescent="0.3">
      <c r="C1212" s="122"/>
      <c r="D1212" s="117" t="s">
        <v>378</v>
      </c>
      <c r="E1212" s="118"/>
      <c r="F1212" s="123" t="s">
        <v>379</v>
      </c>
      <c r="G1212" s="165">
        <v>2</v>
      </c>
      <c r="H1212" s="144">
        <f t="shared" si="17"/>
        <v>31250</v>
      </c>
      <c r="I1212" s="126">
        <f t="shared" si="18"/>
        <v>62500</v>
      </c>
    </row>
    <row r="1213" spans="3:9" ht="15.95" customHeight="1" thickBot="1" x14ac:dyDescent="0.3">
      <c r="C1213" s="132"/>
      <c r="D1213" s="133"/>
      <c r="E1213" s="134"/>
      <c r="F1213" s="134"/>
      <c r="G1213" s="135" t="s">
        <v>386</v>
      </c>
      <c r="H1213" s="136"/>
      <c r="I1213" s="137">
        <f>SUM(I1207:I1212)</f>
        <v>381780</v>
      </c>
    </row>
    <row r="1214" spans="3:9" ht="15.95" customHeight="1" thickBot="1" x14ac:dyDescent="0.3">
      <c r="C1214" s="116" t="s">
        <v>387</v>
      </c>
      <c r="D1214" s="117" t="s">
        <v>388</v>
      </c>
      <c r="E1214" s="118"/>
      <c r="F1214" s="118"/>
      <c r="G1214" s="165"/>
      <c r="H1214" s="144">
        <f>IF(AND(D1214&lt;&gt;"",F1214&lt;&gt;""),IF(C1214="",IF(F1214="OH",VLOOKUP(D1214,[1]UPAH!$B$3:$G$32,7,0),VLOOKUP(D1214,[1]BAHAN!$A$2:$D$3,4,0)),0),0)</f>
        <v>0</v>
      </c>
      <c r="I1214" s="126">
        <f>G1214*H1214</f>
        <v>0</v>
      </c>
    </row>
    <row r="1215" spans="3:9" ht="15.95" customHeight="1" thickBot="1" x14ac:dyDescent="0.3">
      <c r="C1215" s="132"/>
      <c r="D1215" s="133"/>
      <c r="E1215" s="134"/>
      <c r="F1215" s="134"/>
      <c r="G1215" s="135" t="s">
        <v>389</v>
      </c>
      <c r="H1215" s="136"/>
      <c r="I1215" s="137">
        <f>I1214</f>
        <v>0</v>
      </c>
    </row>
    <row r="1216" spans="3:9" ht="15.95" customHeight="1" x14ac:dyDescent="0.25">
      <c r="C1216" s="158" t="s">
        <v>390</v>
      </c>
      <c r="D1216" s="159" t="s">
        <v>391</v>
      </c>
      <c r="E1216" s="160"/>
      <c r="F1216" s="160"/>
      <c r="G1216" s="161"/>
      <c r="H1216" s="162">
        <f>IF(AND(D1216&lt;&gt;"",F1216&lt;&gt;""),IF(C1216="",IF(F1216="OH",VLOOKUP(D1216,[1]UPAH!$B$3:$G$32,7,0),VLOOKUP(D1216,[1]BAHAN!$A$2:$D$3,4,0)),0),0)</f>
        <v>0</v>
      </c>
      <c r="I1216" s="126">
        <f>SUM(I1200:I1215)/2</f>
        <v>524835</v>
      </c>
    </row>
    <row r="1217" spans="2:10" ht="15.95" customHeight="1" thickBot="1" x14ac:dyDescent="0.3">
      <c r="C1217" s="147" t="s">
        <v>392</v>
      </c>
      <c r="D1217" s="148" t="s">
        <v>393</v>
      </c>
      <c r="E1217" s="149"/>
      <c r="F1217" s="149"/>
      <c r="G1217" s="164">
        <v>0.1</v>
      </c>
      <c r="H1217" s="151"/>
      <c r="I1217" s="146">
        <f>G1217*I1216</f>
        <v>52483.5</v>
      </c>
    </row>
    <row r="1218" spans="2:10" ht="15.95" customHeight="1" thickBot="1" x14ac:dyDescent="0.3">
      <c r="C1218" s="111" t="s">
        <v>394</v>
      </c>
      <c r="D1218" s="112" t="s">
        <v>395</v>
      </c>
      <c r="E1218" s="134"/>
      <c r="F1218" s="134"/>
      <c r="G1218" s="156"/>
      <c r="H1218" s="136">
        <f>IF(AND(D1218&lt;&gt;"",F1218&lt;&gt;""),IF(C1218="",IF(F1218="OH",VLOOKUP(D1218,[1]UPAH!$B$3:$G$32,7,0),VLOOKUP(D1218,[1]BAHAN!$A$2:$D$3,4,0)),0),0)</f>
        <v>0</v>
      </c>
      <c r="I1218" s="137">
        <f>ROUNDDOWN(I1216+I1217,0)</f>
        <v>577318</v>
      </c>
    </row>
    <row r="1219" spans="2:10" ht="15.95" customHeight="1" x14ac:dyDescent="0.25">
      <c r="C1219" s="109"/>
      <c r="D1219" s="109"/>
      <c r="G1219" s="157"/>
      <c r="H1219" s="166"/>
      <c r="I1219" s="110"/>
    </row>
    <row r="1220" spans="2:10" ht="15.95" customHeight="1" thickBot="1" x14ac:dyDescent="0.3">
      <c r="B1220" s="247" t="s">
        <v>598</v>
      </c>
      <c r="C1220" s="104" t="s">
        <v>599</v>
      </c>
      <c r="G1220" s="157"/>
      <c r="J1220" s="110">
        <f>I1240</f>
        <v>700265</v>
      </c>
    </row>
    <row r="1221" spans="2:10" ht="15.95" customHeight="1" thickBot="1" x14ac:dyDescent="0.3">
      <c r="C1221" s="111" t="s">
        <v>328</v>
      </c>
      <c r="D1221" s="112" t="s">
        <v>359</v>
      </c>
      <c r="E1221" s="113" t="s">
        <v>360</v>
      </c>
      <c r="F1221" s="113" t="s">
        <v>330</v>
      </c>
      <c r="G1221" s="114" t="s">
        <v>361</v>
      </c>
      <c r="H1221" s="112" t="s">
        <v>362</v>
      </c>
      <c r="I1221" s="115" t="s">
        <v>363</v>
      </c>
    </row>
    <row r="1222" spans="2:10" ht="15.95" customHeight="1" x14ac:dyDescent="0.25">
      <c r="C1222" s="116" t="s">
        <v>364</v>
      </c>
      <c r="D1222" s="117" t="s">
        <v>365</v>
      </c>
      <c r="E1222" s="118"/>
      <c r="F1222" s="118"/>
      <c r="G1222" s="165"/>
      <c r="H1222" s="144"/>
      <c r="I1222" s="126"/>
    </row>
    <row r="1223" spans="2:10" ht="15.95" customHeight="1" x14ac:dyDescent="0.25">
      <c r="C1223" s="122"/>
      <c r="D1223" s="117" t="s">
        <v>366</v>
      </c>
      <c r="E1223" s="123" t="s">
        <v>367</v>
      </c>
      <c r="F1223" s="123" t="s">
        <v>368</v>
      </c>
      <c r="G1223" s="124">
        <v>0.66</v>
      </c>
      <c r="H1223" s="125">
        <f>VLOOKUP(D1223,Upah,8,FALSE)</f>
        <v>125000</v>
      </c>
      <c r="I1223" s="126">
        <f>G1223*H1223</f>
        <v>82500</v>
      </c>
    </row>
    <row r="1224" spans="2:10" ht="15.95" customHeight="1" x14ac:dyDescent="0.25">
      <c r="C1224" s="122"/>
      <c r="D1224" s="117" t="s">
        <v>369</v>
      </c>
      <c r="E1224" s="123" t="s">
        <v>370</v>
      </c>
      <c r="F1224" s="123" t="s">
        <v>368</v>
      </c>
      <c r="G1224" s="124">
        <v>0.33</v>
      </c>
      <c r="H1224" s="125">
        <f>VLOOKUP(D1224,Upah,8,FALSE)</f>
        <v>150000</v>
      </c>
      <c r="I1224" s="126">
        <f>G1224*H1224</f>
        <v>49500</v>
      </c>
    </row>
    <row r="1225" spans="2:10" ht="15.95" customHeight="1" x14ac:dyDescent="0.25">
      <c r="C1225" s="122"/>
      <c r="D1225" s="117" t="s">
        <v>371</v>
      </c>
      <c r="E1225" s="123" t="s">
        <v>372</v>
      </c>
      <c r="F1225" s="123" t="s">
        <v>368</v>
      </c>
      <c r="G1225" s="124">
        <v>3.3000000000000002E-2</v>
      </c>
      <c r="H1225" s="125">
        <f>VLOOKUP(D1225,Upah,8,FALSE)</f>
        <v>165000</v>
      </c>
      <c r="I1225" s="126">
        <f>G1225*H1225</f>
        <v>5445</v>
      </c>
    </row>
    <row r="1226" spans="2:10" ht="15.95" customHeight="1" thickBot="1" x14ac:dyDescent="0.3">
      <c r="C1226" s="122"/>
      <c r="D1226" s="117" t="s">
        <v>373</v>
      </c>
      <c r="E1226" s="123" t="s">
        <v>374</v>
      </c>
      <c r="F1226" s="123" t="s">
        <v>368</v>
      </c>
      <c r="G1226" s="124">
        <v>3.3000000000000002E-2</v>
      </c>
      <c r="H1226" s="125">
        <f>VLOOKUP(D1226,Upah,8,FALSE)</f>
        <v>170000</v>
      </c>
      <c r="I1226" s="126">
        <f>G1226*H1226</f>
        <v>5610</v>
      </c>
    </row>
    <row r="1227" spans="2:10" ht="15.95" customHeight="1" thickBot="1" x14ac:dyDescent="0.3">
      <c r="C1227" s="132"/>
      <c r="D1227" s="133"/>
      <c r="E1227" s="134"/>
      <c r="F1227" s="134"/>
      <c r="G1227" s="135" t="s">
        <v>375</v>
      </c>
      <c r="H1227" s="136"/>
      <c r="I1227" s="137">
        <f>SUM(I1223:I1226)</f>
        <v>143055</v>
      </c>
    </row>
    <row r="1228" spans="2:10" ht="15.95" customHeight="1" x14ac:dyDescent="0.25">
      <c r="C1228" s="116" t="s">
        <v>376</v>
      </c>
      <c r="D1228" s="117" t="s">
        <v>377</v>
      </c>
      <c r="E1228" s="118"/>
      <c r="F1228" s="118"/>
      <c r="G1228" s="165"/>
      <c r="H1228" s="144"/>
      <c r="I1228" s="126"/>
    </row>
    <row r="1229" spans="2:10" ht="15.95" customHeight="1" x14ac:dyDescent="0.25">
      <c r="C1229" s="122"/>
      <c r="D1229" s="117" t="s">
        <v>586</v>
      </c>
      <c r="E1229" s="118"/>
      <c r="F1229" s="123" t="s">
        <v>158</v>
      </c>
      <c r="G1229" s="124">
        <v>0.04</v>
      </c>
      <c r="H1229" s="144">
        <f t="shared" ref="H1229:H1234" si="19">VLOOKUP(D1229,Bahan,6,FALSE)</f>
        <v>4500000</v>
      </c>
      <c r="I1229" s="126">
        <f t="shared" ref="I1229:I1234" si="20">G1229*H1229</f>
        <v>180000</v>
      </c>
    </row>
    <row r="1230" spans="2:10" ht="15.95" customHeight="1" x14ac:dyDescent="0.25">
      <c r="C1230" s="122"/>
      <c r="D1230" s="117" t="s">
        <v>593</v>
      </c>
      <c r="E1230" s="118"/>
      <c r="F1230" s="123" t="s">
        <v>133</v>
      </c>
      <c r="G1230" s="124">
        <v>0.4</v>
      </c>
      <c r="H1230" s="144">
        <f t="shared" si="19"/>
        <v>27970</v>
      </c>
      <c r="I1230" s="126">
        <f t="shared" si="20"/>
        <v>11188</v>
      </c>
    </row>
    <row r="1231" spans="2:10" ht="15.95" customHeight="1" x14ac:dyDescent="0.25">
      <c r="C1231" s="122"/>
      <c r="D1231" s="117" t="s">
        <v>588</v>
      </c>
      <c r="E1231" s="118"/>
      <c r="F1231" s="123" t="s">
        <v>385</v>
      </c>
      <c r="G1231" s="124">
        <v>0.2</v>
      </c>
      <c r="H1231" s="144">
        <f t="shared" si="19"/>
        <v>7310</v>
      </c>
      <c r="I1231" s="126">
        <f t="shared" si="20"/>
        <v>1462</v>
      </c>
    </row>
    <row r="1232" spans="2:10" ht="15.95" customHeight="1" x14ac:dyDescent="0.25">
      <c r="C1232" s="122"/>
      <c r="D1232" s="117" t="s">
        <v>594</v>
      </c>
      <c r="E1232" s="118"/>
      <c r="F1232" s="123" t="s">
        <v>158</v>
      </c>
      <c r="G1232" s="124">
        <v>1.4999999999999999E-2</v>
      </c>
      <c r="H1232" s="144">
        <f t="shared" si="19"/>
        <v>4410000</v>
      </c>
      <c r="I1232" s="126">
        <f t="shared" si="20"/>
        <v>66150</v>
      </c>
    </row>
    <row r="1233" spans="2:10" ht="15.95" customHeight="1" x14ac:dyDescent="0.25">
      <c r="C1233" s="122"/>
      <c r="D1233" s="117" t="s">
        <v>595</v>
      </c>
      <c r="E1233" s="118"/>
      <c r="F1233" s="123" t="s">
        <v>399</v>
      </c>
      <c r="G1233" s="124">
        <v>0.35</v>
      </c>
      <c r="H1233" s="144">
        <f t="shared" si="19"/>
        <v>135000</v>
      </c>
      <c r="I1233" s="126">
        <f t="shared" si="20"/>
        <v>47250</v>
      </c>
    </row>
    <row r="1234" spans="2:10" ht="15.95" customHeight="1" thickBot="1" x14ac:dyDescent="0.3">
      <c r="C1234" s="122"/>
      <c r="D1234" s="117" t="s">
        <v>378</v>
      </c>
      <c r="E1234" s="118"/>
      <c r="F1234" s="123" t="s">
        <v>379</v>
      </c>
      <c r="G1234" s="124">
        <v>6</v>
      </c>
      <c r="H1234" s="144">
        <f t="shared" si="19"/>
        <v>31250</v>
      </c>
      <c r="I1234" s="126">
        <f t="shared" si="20"/>
        <v>187500</v>
      </c>
    </row>
    <row r="1235" spans="2:10" ht="15.95" customHeight="1" thickBot="1" x14ac:dyDescent="0.3">
      <c r="C1235" s="132"/>
      <c r="D1235" s="133"/>
      <c r="E1235" s="134"/>
      <c r="F1235" s="134"/>
      <c r="G1235" s="135" t="s">
        <v>386</v>
      </c>
      <c r="H1235" s="136"/>
      <c r="I1235" s="137">
        <f>SUM(I1229:I1234)</f>
        <v>493550</v>
      </c>
    </row>
    <row r="1236" spans="2:10" ht="15.95" customHeight="1" thickBot="1" x14ac:dyDescent="0.3">
      <c r="C1236" s="116" t="s">
        <v>387</v>
      </c>
      <c r="D1236" s="117" t="s">
        <v>388</v>
      </c>
      <c r="E1236" s="118"/>
      <c r="F1236" s="118"/>
      <c r="G1236" s="165"/>
      <c r="H1236" s="144">
        <f>IF(AND(D1236&lt;&gt;"",F1236&lt;&gt;""),IF(C1236="",IF(F1236="OH",VLOOKUP(D1236,[1]UPAH!$B$3:$G$32,7,0),VLOOKUP(D1236,[1]BAHAN!$A$2:$D$3,4,0)),0),0)</f>
        <v>0</v>
      </c>
      <c r="I1236" s="126">
        <f>G1236*H1236</f>
        <v>0</v>
      </c>
    </row>
    <row r="1237" spans="2:10" ht="15.95" customHeight="1" thickBot="1" x14ac:dyDescent="0.3">
      <c r="C1237" s="132"/>
      <c r="D1237" s="133"/>
      <c r="E1237" s="134"/>
      <c r="F1237" s="134"/>
      <c r="G1237" s="135" t="s">
        <v>389</v>
      </c>
      <c r="H1237" s="136"/>
      <c r="I1237" s="137">
        <f>I1236</f>
        <v>0</v>
      </c>
    </row>
    <row r="1238" spans="2:10" ht="15.95" customHeight="1" x14ac:dyDescent="0.25">
      <c r="C1238" s="158" t="s">
        <v>390</v>
      </c>
      <c r="D1238" s="159" t="s">
        <v>391</v>
      </c>
      <c r="E1238" s="160"/>
      <c r="F1238" s="160"/>
      <c r="G1238" s="161"/>
      <c r="H1238" s="162">
        <f>IF(AND(D1238&lt;&gt;"",F1238&lt;&gt;""),IF(C1238="",IF(F1238="OH",VLOOKUP(D1238,[1]UPAH!$B$3:$G$32,7,0),VLOOKUP(D1238,[1]BAHAN!$A$2:$D$3,4,0)),0),0)</f>
        <v>0</v>
      </c>
      <c r="I1238" s="126">
        <f>SUM(I1222:I1237)/2</f>
        <v>636605</v>
      </c>
    </row>
    <row r="1239" spans="2:10" ht="15.95" customHeight="1" thickBot="1" x14ac:dyDescent="0.3">
      <c r="C1239" s="147" t="s">
        <v>392</v>
      </c>
      <c r="D1239" s="148" t="s">
        <v>393</v>
      </c>
      <c r="E1239" s="149"/>
      <c r="F1239" s="149"/>
      <c r="G1239" s="164">
        <v>0.1</v>
      </c>
      <c r="H1239" s="151"/>
      <c r="I1239" s="146">
        <f>G1239*I1238</f>
        <v>63660.5</v>
      </c>
    </row>
    <row r="1240" spans="2:10" ht="15.95" customHeight="1" thickBot="1" x14ac:dyDescent="0.3">
      <c r="C1240" s="111" t="s">
        <v>394</v>
      </c>
      <c r="D1240" s="112" t="s">
        <v>395</v>
      </c>
      <c r="E1240" s="134"/>
      <c r="F1240" s="134"/>
      <c r="G1240" s="156"/>
      <c r="H1240" s="136">
        <f>IF(AND(D1240&lt;&gt;"",F1240&lt;&gt;""),IF(C1240="",IF(F1240="OH",VLOOKUP(D1240,[1]UPAH!$B$3:$G$32,7,0),VLOOKUP(D1240,[1]BAHAN!$A$2:$D$3,4,0)),0),0)</f>
        <v>0</v>
      </c>
      <c r="I1240" s="137">
        <f>ROUNDDOWN(I1238+I1239,0)</f>
        <v>700265</v>
      </c>
    </row>
    <row r="1241" spans="2:10" ht="15.95" customHeight="1" x14ac:dyDescent="0.25">
      <c r="C1241" s="109"/>
      <c r="D1241" s="109"/>
      <c r="G1241" s="157"/>
      <c r="H1241" s="166"/>
      <c r="I1241" s="110"/>
    </row>
    <row r="1242" spans="2:10" ht="15.95" customHeight="1" thickBot="1" x14ac:dyDescent="0.3">
      <c r="B1242" s="109" t="s">
        <v>600</v>
      </c>
      <c r="C1242" s="104" t="s">
        <v>601</v>
      </c>
      <c r="G1242" s="157"/>
      <c r="J1242" s="110">
        <f>I1263</f>
        <v>681895</v>
      </c>
    </row>
    <row r="1243" spans="2:10" ht="15.95" customHeight="1" thickBot="1" x14ac:dyDescent="0.3">
      <c r="C1243" s="111" t="s">
        <v>328</v>
      </c>
      <c r="D1243" s="112" t="s">
        <v>359</v>
      </c>
      <c r="E1243" s="113" t="s">
        <v>360</v>
      </c>
      <c r="F1243" s="113" t="s">
        <v>330</v>
      </c>
      <c r="G1243" s="114" t="s">
        <v>361</v>
      </c>
      <c r="H1243" s="112" t="s">
        <v>362</v>
      </c>
      <c r="I1243" s="115" t="s">
        <v>363</v>
      </c>
    </row>
    <row r="1244" spans="2:10" ht="15.95" customHeight="1" x14ac:dyDescent="0.25">
      <c r="C1244" s="158" t="s">
        <v>364</v>
      </c>
      <c r="D1244" s="159" t="s">
        <v>365</v>
      </c>
      <c r="E1244" s="160"/>
      <c r="F1244" s="160"/>
      <c r="G1244" s="161"/>
      <c r="H1244" s="162"/>
      <c r="I1244" s="163"/>
    </row>
    <row r="1245" spans="2:10" ht="15.95" customHeight="1" x14ac:dyDescent="0.25">
      <c r="C1245" s="122"/>
      <c r="D1245" s="117" t="s">
        <v>366</v>
      </c>
      <c r="E1245" s="123" t="s">
        <v>367</v>
      </c>
      <c r="F1245" s="123" t="s">
        <v>368</v>
      </c>
      <c r="G1245" s="124">
        <v>0.66</v>
      </c>
      <c r="H1245" s="125">
        <f>VLOOKUP(D1245,Upah,8,FALSE)</f>
        <v>125000</v>
      </c>
      <c r="I1245" s="126">
        <f>G1245*H1245</f>
        <v>82500</v>
      </c>
    </row>
    <row r="1246" spans="2:10" ht="15.95" customHeight="1" x14ac:dyDescent="0.25">
      <c r="C1246" s="122"/>
      <c r="D1246" s="117" t="s">
        <v>369</v>
      </c>
      <c r="E1246" s="123" t="s">
        <v>370</v>
      </c>
      <c r="F1246" s="123" t="s">
        <v>368</v>
      </c>
      <c r="G1246" s="124">
        <v>0.33</v>
      </c>
      <c r="H1246" s="125">
        <f>VLOOKUP(D1246,Upah,8,FALSE)</f>
        <v>150000</v>
      </c>
      <c r="I1246" s="126">
        <f>G1246*H1246</f>
        <v>49500</v>
      </c>
    </row>
    <row r="1247" spans="2:10" ht="15.95" customHeight="1" x14ac:dyDescent="0.25">
      <c r="C1247" s="122"/>
      <c r="D1247" s="117" t="s">
        <v>371</v>
      </c>
      <c r="E1247" s="123" t="s">
        <v>372</v>
      </c>
      <c r="F1247" s="123" t="s">
        <v>368</v>
      </c>
      <c r="G1247" s="124">
        <v>3.3000000000000002E-2</v>
      </c>
      <c r="H1247" s="125">
        <f>VLOOKUP(D1247,Upah,8,FALSE)</f>
        <v>165000</v>
      </c>
      <c r="I1247" s="126">
        <f>G1247*H1247</f>
        <v>5445</v>
      </c>
    </row>
    <row r="1248" spans="2:10" ht="15.95" customHeight="1" thickBot="1" x14ac:dyDescent="0.3">
      <c r="C1248" s="122"/>
      <c r="D1248" s="117" t="s">
        <v>373</v>
      </c>
      <c r="E1248" s="123" t="s">
        <v>374</v>
      </c>
      <c r="F1248" s="123" t="s">
        <v>368</v>
      </c>
      <c r="G1248" s="124">
        <v>3.3000000000000002E-2</v>
      </c>
      <c r="H1248" s="125">
        <f>VLOOKUP(D1248,Upah,8,FALSE)</f>
        <v>170000</v>
      </c>
      <c r="I1248" s="126">
        <f>G1248*H1248</f>
        <v>5610</v>
      </c>
    </row>
    <row r="1249" spans="3:9" ht="15.95" customHeight="1" thickBot="1" x14ac:dyDescent="0.3">
      <c r="C1249" s="132"/>
      <c r="D1249" s="133"/>
      <c r="E1249" s="134"/>
      <c r="F1249" s="134"/>
      <c r="G1249" s="135" t="s">
        <v>375</v>
      </c>
      <c r="H1249" s="136"/>
      <c r="I1249" s="137">
        <f>SUM(I1245:I1248)</f>
        <v>143055</v>
      </c>
    </row>
    <row r="1250" spans="3:9" ht="15.95" customHeight="1" x14ac:dyDescent="0.25">
      <c r="C1250" s="116" t="s">
        <v>376</v>
      </c>
      <c r="D1250" s="117" t="s">
        <v>377</v>
      </c>
      <c r="E1250" s="118"/>
      <c r="F1250" s="118"/>
      <c r="G1250" s="165"/>
      <c r="H1250" s="144"/>
      <c r="I1250" s="126"/>
    </row>
    <row r="1251" spans="3:9" ht="15.95" customHeight="1" x14ac:dyDescent="0.25">
      <c r="C1251" s="122"/>
      <c r="D1251" s="117" t="s">
        <v>586</v>
      </c>
      <c r="E1251" s="118"/>
      <c r="F1251" s="123" t="s">
        <v>158</v>
      </c>
      <c r="G1251" s="124">
        <v>0.03</v>
      </c>
      <c r="H1251" s="144">
        <f t="shared" ref="H1251:H1257" si="21">VLOOKUP(D1251,Bahan,6,FALSE)</f>
        <v>4500000</v>
      </c>
      <c r="I1251" s="126">
        <f t="shared" ref="I1251:I1257" si="22">G1251*H1251</f>
        <v>135000</v>
      </c>
    </row>
    <row r="1252" spans="3:9" ht="15.95" customHeight="1" x14ac:dyDescent="0.25">
      <c r="C1252" s="122"/>
      <c r="D1252" s="117" t="s">
        <v>593</v>
      </c>
      <c r="E1252" s="118"/>
      <c r="F1252" s="123" t="s">
        <v>133</v>
      </c>
      <c r="G1252" s="124">
        <v>0.4</v>
      </c>
      <c r="H1252" s="144">
        <f t="shared" si="21"/>
        <v>27970</v>
      </c>
      <c r="I1252" s="126">
        <f t="shared" si="22"/>
        <v>11188</v>
      </c>
    </row>
    <row r="1253" spans="3:9" ht="15.95" customHeight="1" x14ac:dyDescent="0.25">
      <c r="C1253" s="122"/>
      <c r="D1253" s="117" t="s">
        <v>588</v>
      </c>
      <c r="E1253" s="118"/>
      <c r="F1253" s="123" t="s">
        <v>385</v>
      </c>
      <c r="G1253" s="124">
        <v>0.2</v>
      </c>
      <c r="H1253" s="144">
        <f t="shared" si="21"/>
        <v>7310</v>
      </c>
      <c r="I1253" s="126">
        <f t="shared" si="22"/>
        <v>1462</v>
      </c>
    </row>
    <row r="1254" spans="3:9" ht="15.95" customHeight="1" x14ac:dyDescent="0.25">
      <c r="C1254" s="122"/>
      <c r="D1254" s="117" t="s">
        <v>594</v>
      </c>
      <c r="E1254" s="118"/>
      <c r="F1254" s="123" t="s">
        <v>158</v>
      </c>
      <c r="G1254" s="124">
        <v>0.02</v>
      </c>
      <c r="H1254" s="144">
        <f t="shared" si="21"/>
        <v>4410000</v>
      </c>
      <c r="I1254" s="126">
        <f t="shared" si="22"/>
        <v>88200</v>
      </c>
    </row>
    <row r="1255" spans="3:9" ht="15.95" customHeight="1" x14ac:dyDescent="0.25">
      <c r="C1255" s="122"/>
      <c r="D1255" s="117" t="s">
        <v>595</v>
      </c>
      <c r="E1255" s="118"/>
      <c r="F1255" s="123" t="s">
        <v>399</v>
      </c>
      <c r="G1255" s="124">
        <v>0.35</v>
      </c>
      <c r="H1255" s="144">
        <f t="shared" si="21"/>
        <v>135000</v>
      </c>
      <c r="I1255" s="126">
        <f t="shared" si="22"/>
        <v>47250</v>
      </c>
    </row>
    <row r="1256" spans="3:9" ht="15.95" customHeight="1" x14ac:dyDescent="0.25">
      <c r="C1256" s="122"/>
      <c r="D1256" s="117" t="s">
        <v>378</v>
      </c>
      <c r="E1256" s="118"/>
      <c r="F1256" s="123" t="s">
        <v>379</v>
      </c>
      <c r="G1256" s="124">
        <v>3</v>
      </c>
      <c r="H1256" s="144">
        <f t="shared" si="21"/>
        <v>31250</v>
      </c>
      <c r="I1256" s="126">
        <f t="shared" si="22"/>
        <v>93750</v>
      </c>
    </row>
    <row r="1257" spans="3:9" ht="15.95" customHeight="1" thickBot="1" x14ac:dyDescent="0.3">
      <c r="C1257" s="177"/>
      <c r="D1257" s="178" t="s">
        <v>602</v>
      </c>
      <c r="E1257" s="179"/>
      <c r="F1257" s="180" t="s">
        <v>603</v>
      </c>
      <c r="G1257" s="181">
        <v>4</v>
      </c>
      <c r="H1257" s="144">
        <f t="shared" si="21"/>
        <v>25000</v>
      </c>
      <c r="I1257" s="182">
        <f t="shared" si="22"/>
        <v>100000</v>
      </c>
    </row>
    <row r="1258" spans="3:9" ht="15.95" customHeight="1" thickBot="1" x14ac:dyDescent="0.3">
      <c r="C1258" s="132"/>
      <c r="D1258" s="133"/>
      <c r="E1258" s="134"/>
      <c r="F1258" s="134"/>
      <c r="G1258" s="135" t="s">
        <v>386</v>
      </c>
      <c r="H1258" s="136"/>
      <c r="I1258" s="137">
        <f>SUM(I1251:I1257)</f>
        <v>476850</v>
      </c>
    </row>
    <row r="1259" spans="3:9" ht="15.95" customHeight="1" thickBot="1" x14ac:dyDescent="0.3">
      <c r="C1259" s="116" t="s">
        <v>387</v>
      </c>
      <c r="D1259" s="117" t="s">
        <v>388</v>
      </c>
      <c r="E1259" s="118"/>
      <c r="F1259" s="118"/>
      <c r="G1259" s="165"/>
      <c r="H1259" s="144">
        <f>IF(AND(D1259&lt;&gt;"",F1259&lt;&gt;""),IF(C1259="",IF(F1259="OH",VLOOKUP(D1259,[1]UPAH!$B$3:$G$32,7,0),VLOOKUP(D1259,[1]BAHAN!$A$2:$D$3,4,0)),0),0)</f>
        <v>0</v>
      </c>
      <c r="I1259" s="126">
        <f>G1259*H1259</f>
        <v>0</v>
      </c>
    </row>
    <row r="1260" spans="3:9" ht="15.95" customHeight="1" thickBot="1" x14ac:dyDescent="0.3">
      <c r="C1260" s="132"/>
      <c r="D1260" s="133"/>
      <c r="E1260" s="134"/>
      <c r="F1260" s="134"/>
      <c r="G1260" s="135" t="s">
        <v>389</v>
      </c>
      <c r="H1260" s="136"/>
      <c r="I1260" s="137">
        <f>I1259</f>
        <v>0</v>
      </c>
    </row>
    <row r="1261" spans="3:9" ht="15.95" customHeight="1" x14ac:dyDescent="0.25">
      <c r="C1261" s="158" t="s">
        <v>390</v>
      </c>
      <c r="D1261" s="159" t="s">
        <v>391</v>
      </c>
      <c r="E1261" s="160"/>
      <c r="F1261" s="160"/>
      <c r="G1261" s="161"/>
      <c r="H1261" s="162">
        <f>IF(AND(D1261&lt;&gt;"",F1261&lt;&gt;""),IF(C1261="",IF(F1261="OH",VLOOKUP(D1261,[1]UPAH!$B$3:$G$32,7,0),VLOOKUP(D1261,[1]BAHAN!$A$2:$D$3,4,0)),0),0)</f>
        <v>0</v>
      </c>
      <c r="I1261" s="126">
        <f>SUM(I1245:I1260)/2</f>
        <v>619905</v>
      </c>
    </row>
    <row r="1262" spans="3:9" ht="15.95" customHeight="1" thickBot="1" x14ac:dyDescent="0.3">
      <c r="C1262" s="147" t="s">
        <v>392</v>
      </c>
      <c r="D1262" s="148" t="s">
        <v>393</v>
      </c>
      <c r="E1262" s="149"/>
      <c r="F1262" s="149"/>
      <c r="G1262" s="164">
        <v>0.1</v>
      </c>
      <c r="H1262" s="151"/>
      <c r="I1262" s="146">
        <f>G1262*I1261</f>
        <v>61990.5</v>
      </c>
    </row>
    <row r="1263" spans="3:9" ht="15.95" customHeight="1" thickBot="1" x14ac:dyDescent="0.3">
      <c r="C1263" s="111" t="s">
        <v>394</v>
      </c>
      <c r="D1263" s="112" t="s">
        <v>395</v>
      </c>
      <c r="E1263" s="134"/>
      <c r="F1263" s="134"/>
      <c r="G1263" s="156"/>
      <c r="H1263" s="136">
        <f>IF(AND(D1263&lt;&gt;"",F1263&lt;&gt;""),IF(C1263="",IF(F1263="OH",VLOOKUP(D1263,[1]UPAH!$B$3:$G$32,7,0),VLOOKUP(D1263,[1]BAHAN!$A$2:$D$3,4,0)),0),0)</f>
        <v>0</v>
      </c>
      <c r="I1263" s="137">
        <f>ROUNDDOWN(I1261+I1262,0)</f>
        <v>681895</v>
      </c>
    </row>
    <row r="1264" spans="3:9" ht="15.95" customHeight="1" x14ac:dyDescent="0.25">
      <c r="C1264" s="109"/>
      <c r="D1264" s="109"/>
      <c r="G1264" s="157"/>
      <c r="H1264" s="166"/>
      <c r="I1264" s="110"/>
    </row>
    <row r="1265" spans="2:10" ht="15.95" customHeight="1" thickBot="1" x14ac:dyDescent="0.3">
      <c r="B1265" s="109" t="s">
        <v>604</v>
      </c>
      <c r="C1265" s="104" t="s">
        <v>605</v>
      </c>
      <c r="G1265" s="157"/>
      <c r="J1265" s="110">
        <f>I1285</f>
        <v>512863</v>
      </c>
    </row>
    <row r="1266" spans="2:10" ht="15.95" customHeight="1" thickBot="1" x14ac:dyDescent="0.3">
      <c r="C1266" s="111" t="s">
        <v>328</v>
      </c>
      <c r="D1266" s="112" t="s">
        <v>359</v>
      </c>
      <c r="E1266" s="113" t="s">
        <v>360</v>
      </c>
      <c r="F1266" s="113" t="s">
        <v>330</v>
      </c>
      <c r="G1266" s="114" t="s">
        <v>361</v>
      </c>
      <c r="H1266" s="112" t="s">
        <v>362</v>
      </c>
      <c r="I1266" s="115" t="s">
        <v>363</v>
      </c>
    </row>
    <row r="1267" spans="2:10" ht="15.95" customHeight="1" x14ac:dyDescent="0.25">
      <c r="C1267" s="158" t="s">
        <v>364</v>
      </c>
      <c r="D1267" s="159" t="s">
        <v>365</v>
      </c>
      <c r="E1267" s="160"/>
      <c r="F1267" s="160"/>
      <c r="G1267" s="161"/>
      <c r="H1267" s="162"/>
      <c r="I1267" s="163"/>
    </row>
    <row r="1268" spans="2:10" ht="15.95" customHeight="1" x14ac:dyDescent="0.25">
      <c r="C1268" s="122"/>
      <c r="D1268" s="117" t="s">
        <v>366</v>
      </c>
      <c r="E1268" s="123" t="s">
        <v>367</v>
      </c>
      <c r="F1268" s="123" t="s">
        <v>368</v>
      </c>
      <c r="G1268" s="124">
        <v>0.66</v>
      </c>
      <c r="H1268" s="125">
        <f>VLOOKUP(D1268,Upah,8,FALSE)</f>
        <v>125000</v>
      </c>
      <c r="I1268" s="126">
        <f>G1268*H1268</f>
        <v>82500</v>
      </c>
    </row>
    <row r="1269" spans="2:10" ht="15.95" customHeight="1" x14ac:dyDescent="0.25">
      <c r="C1269" s="122"/>
      <c r="D1269" s="117" t="s">
        <v>369</v>
      </c>
      <c r="E1269" s="123" t="s">
        <v>370</v>
      </c>
      <c r="F1269" s="123" t="s">
        <v>368</v>
      </c>
      <c r="G1269" s="124">
        <v>0.33</v>
      </c>
      <c r="H1269" s="125">
        <f>VLOOKUP(D1269,Upah,8,FALSE)</f>
        <v>150000</v>
      </c>
      <c r="I1269" s="126">
        <f>G1269*H1269</f>
        <v>49500</v>
      </c>
    </row>
    <row r="1270" spans="2:10" ht="15.95" customHeight="1" x14ac:dyDescent="0.25">
      <c r="C1270" s="122"/>
      <c r="D1270" s="117" t="s">
        <v>371</v>
      </c>
      <c r="E1270" s="123" t="s">
        <v>372</v>
      </c>
      <c r="F1270" s="123" t="s">
        <v>368</v>
      </c>
      <c r="G1270" s="124">
        <v>3.3000000000000002E-2</v>
      </c>
      <c r="H1270" s="125">
        <f>VLOOKUP(D1270,Upah,8,FALSE)</f>
        <v>165000</v>
      </c>
      <c r="I1270" s="126">
        <f>G1270*H1270</f>
        <v>5445</v>
      </c>
    </row>
    <row r="1271" spans="2:10" ht="15.95" customHeight="1" thickBot="1" x14ac:dyDescent="0.3">
      <c r="C1271" s="122"/>
      <c r="D1271" s="117" t="s">
        <v>373</v>
      </c>
      <c r="E1271" s="123" t="s">
        <v>374</v>
      </c>
      <c r="F1271" s="123" t="s">
        <v>368</v>
      </c>
      <c r="G1271" s="124">
        <v>3.3000000000000002E-2</v>
      </c>
      <c r="H1271" s="125">
        <f>VLOOKUP(D1271,Upah,8,FALSE)</f>
        <v>170000</v>
      </c>
      <c r="I1271" s="126">
        <f>G1271*H1271</f>
        <v>5610</v>
      </c>
    </row>
    <row r="1272" spans="2:10" ht="15.95" customHeight="1" thickBot="1" x14ac:dyDescent="0.3">
      <c r="C1272" s="132"/>
      <c r="D1272" s="133"/>
      <c r="E1272" s="134"/>
      <c r="F1272" s="134"/>
      <c r="G1272" s="135" t="s">
        <v>375</v>
      </c>
      <c r="H1272" s="136"/>
      <c r="I1272" s="137">
        <f>SUM(I1268:I1271)</f>
        <v>143055</v>
      </c>
    </row>
    <row r="1273" spans="2:10" ht="15.95" customHeight="1" x14ac:dyDescent="0.25">
      <c r="C1273" s="116" t="s">
        <v>376</v>
      </c>
      <c r="D1273" s="117" t="s">
        <v>377</v>
      </c>
      <c r="E1273" s="118"/>
      <c r="F1273" s="118"/>
      <c r="G1273" s="165"/>
      <c r="H1273" s="144"/>
      <c r="I1273" s="126"/>
    </row>
    <row r="1274" spans="2:10" ht="15.95" customHeight="1" x14ac:dyDescent="0.25">
      <c r="C1274" s="122"/>
      <c r="D1274" s="117" t="s">
        <v>586</v>
      </c>
      <c r="E1274" s="118"/>
      <c r="F1274" s="123" t="s">
        <v>158</v>
      </c>
      <c r="G1274" s="124">
        <v>0.03</v>
      </c>
      <c r="H1274" s="144">
        <f t="shared" ref="H1274:H1279" si="23">VLOOKUP(D1274,Bahan,6,FALSE)</f>
        <v>4500000</v>
      </c>
      <c r="I1274" s="126">
        <f t="shared" ref="I1274:I1279" si="24">G1274*H1274</f>
        <v>135000</v>
      </c>
    </row>
    <row r="1275" spans="2:10" ht="15.95" customHeight="1" x14ac:dyDescent="0.25">
      <c r="C1275" s="122"/>
      <c r="D1275" s="117" t="s">
        <v>593</v>
      </c>
      <c r="E1275" s="118"/>
      <c r="F1275" s="123" t="s">
        <v>133</v>
      </c>
      <c r="G1275" s="124">
        <v>0.4</v>
      </c>
      <c r="H1275" s="144">
        <f t="shared" si="23"/>
        <v>27970</v>
      </c>
      <c r="I1275" s="126">
        <f t="shared" si="24"/>
        <v>11188</v>
      </c>
    </row>
    <row r="1276" spans="2:10" ht="15.95" customHeight="1" x14ac:dyDescent="0.25">
      <c r="C1276" s="122"/>
      <c r="D1276" s="117" t="s">
        <v>588</v>
      </c>
      <c r="E1276" s="118"/>
      <c r="F1276" s="123" t="s">
        <v>385</v>
      </c>
      <c r="G1276" s="124">
        <v>0.15</v>
      </c>
      <c r="H1276" s="144">
        <f t="shared" si="23"/>
        <v>7310</v>
      </c>
      <c r="I1276" s="126">
        <f t="shared" si="24"/>
        <v>1096.5</v>
      </c>
    </row>
    <row r="1277" spans="2:10" ht="15.95" customHeight="1" x14ac:dyDescent="0.25">
      <c r="C1277" s="122"/>
      <c r="D1277" s="117" t="s">
        <v>594</v>
      </c>
      <c r="E1277" s="118"/>
      <c r="F1277" s="123" t="s">
        <v>158</v>
      </c>
      <c r="G1277" s="124">
        <v>1.4999999999999999E-2</v>
      </c>
      <c r="H1277" s="144">
        <f t="shared" si="23"/>
        <v>4410000</v>
      </c>
      <c r="I1277" s="126">
        <f t="shared" si="24"/>
        <v>66150</v>
      </c>
    </row>
    <row r="1278" spans="2:10" ht="15.95" customHeight="1" x14ac:dyDescent="0.25">
      <c r="C1278" s="122"/>
      <c r="D1278" s="117" t="s">
        <v>595</v>
      </c>
      <c r="E1278" s="118"/>
      <c r="F1278" s="123" t="s">
        <v>399</v>
      </c>
      <c r="G1278" s="124">
        <v>0.35</v>
      </c>
      <c r="H1278" s="144">
        <f t="shared" si="23"/>
        <v>135000</v>
      </c>
      <c r="I1278" s="126">
        <f t="shared" si="24"/>
        <v>47250</v>
      </c>
    </row>
    <row r="1279" spans="2:10" ht="15.95" customHeight="1" thickBot="1" x14ac:dyDescent="0.3">
      <c r="C1279" s="177"/>
      <c r="D1279" s="178" t="s">
        <v>378</v>
      </c>
      <c r="E1279" s="179"/>
      <c r="F1279" s="180" t="s">
        <v>379</v>
      </c>
      <c r="G1279" s="181">
        <v>2</v>
      </c>
      <c r="H1279" s="144">
        <f t="shared" si="23"/>
        <v>31250</v>
      </c>
      <c r="I1279" s="182">
        <f t="shared" si="24"/>
        <v>62500</v>
      </c>
    </row>
    <row r="1280" spans="2:10" ht="15.95" customHeight="1" thickBot="1" x14ac:dyDescent="0.3">
      <c r="C1280" s="132"/>
      <c r="D1280" s="133"/>
      <c r="E1280" s="134"/>
      <c r="F1280" s="134"/>
      <c r="G1280" s="135" t="s">
        <v>386</v>
      </c>
      <c r="H1280" s="136"/>
      <c r="I1280" s="137">
        <f>SUM(I1274:I1279)</f>
        <v>323184.5</v>
      </c>
    </row>
    <row r="1281" spans="2:10" ht="15.95" customHeight="1" thickBot="1" x14ac:dyDescent="0.3">
      <c r="C1281" s="116" t="s">
        <v>387</v>
      </c>
      <c r="D1281" s="117" t="s">
        <v>388</v>
      </c>
      <c r="E1281" s="118"/>
      <c r="F1281" s="118"/>
      <c r="G1281" s="165"/>
      <c r="H1281" s="144">
        <f>IF(AND(D1281&lt;&gt;"",F1281&lt;&gt;""),IF(C1281="",IF(F1281="OH",VLOOKUP(D1281,[1]UPAH!$B$3:$G$32,7,0),VLOOKUP(D1281,[1]BAHAN!$A$2:$D$3,4,0)),0),0)</f>
        <v>0</v>
      </c>
      <c r="I1281" s="126">
        <f>G1281*H1281</f>
        <v>0</v>
      </c>
    </row>
    <row r="1282" spans="2:10" ht="15.95" customHeight="1" thickBot="1" x14ac:dyDescent="0.3">
      <c r="C1282" s="132"/>
      <c r="D1282" s="133"/>
      <c r="E1282" s="134"/>
      <c r="F1282" s="134"/>
      <c r="G1282" s="135" t="s">
        <v>389</v>
      </c>
      <c r="H1282" s="136"/>
      <c r="I1282" s="137">
        <f>I1281</f>
        <v>0</v>
      </c>
    </row>
    <row r="1283" spans="2:10" ht="15.95" customHeight="1" x14ac:dyDescent="0.25">
      <c r="C1283" s="158" t="s">
        <v>390</v>
      </c>
      <c r="D1283" s="159" t="s">
        <v>391</v>
      </c>
      <c r="E1283" s="160"/>
      <c r="F1283" s="160"/>
      <c r="G1283" s="161"/>
      <c r="H1283" s="162">
        <f>IF(AND(D1283&lt;&gt;"",F1283&lt;&gt;""),IF(C1283="",IF(F1283="OH",VLOOKUP(D1283,[1]UPAH!$B$3:$G$32,7,0),VLOOKUP(D1283,[1]BAHAN!$A$2:$D$3,4,0)),0),0)</f>
        <v>0</v>
      </c>
      <c r="I1283" s="126">
        <f>SUM(I1268:I1282)/2</f>
        <v>466239.5</v>
      </c>
    </row>
    <row r="1284" spans="2:10" ht="15.95" customHeight="1" thickBot="1" x14ac:dyDescent="0.3">
      <c r="C1284" s="147" t="s">
        <v>392</v>
      </c>
      <c r="D1284" s="148" t="s">
        <v>393</v>
      </c>
      <c r="E1284" s="149"/>
      <c r="F1284" s="149"/>
      <c r="G1284" s="164">
        <v>0.1</v>
      </c>
      <c r="H1284" s="151"/>
      <c r="I1284" s="146">
        <f>G1284*I1283</f>
        <v>46623.950000000004</v>
      </c>
    </row>
    <row r="1285" spans="2:10" ht="15.95" customHeight="1" thickBot="1" x14ac:dyDescent="0.3">
      <c r="C1285" s="111" t="s">
        <v>394</v>
      </c>
      <c r="D1285" s="112" t="s">
        <v>395</v>
      </c>
      <c r="E1285" s="134"/>
      <c r="F1285" s="134"/>
      <c r="G1285" s="156"/>
      <c r="H1285" s="136">
        <f>IF(AND(D1285&lt;&gt;"",F1285&lt;&gt;""),IF(C1285="",IF(F1285="OH",VLOOKUP(D1285,[1]UPAH!$B$3:$G$32,7,0),VLOOKUP(D1285,[1]BAHAN!$A$2:$D$3,4,0)),0),0)</f>
        <v>0</v>
      </c>
      <c r="I1285" s="137">
        <f>ROUNDDOWN(I1283+I1284,0)</f>
        <v>512863</v>
      </c>
    </row>
    <row r="1286" spans="2:10" ht="15.95" customHeight="1" x14ac:dyDescent="0.25">
      <c r="C1286" s="109"/>
      <c r="D1286" s="109"/>
      <c r="G1286" s="157"/>
      <c r="H1286" s="166"/>
      <c r="I1286" s="110"/>
    </row>
    <row r="1287" spans="2:10" ht="15.95" customHeight="1" thickBot="1" x14ac:dyDescent="0.3">
      <c r="B1287" s="109" t="s">
        <v>606</v>
      </c>
      <c r="C1287" s="104" t="s">
        <v>607</v>
      </c>
      <c r="G1287" s="157"/>
      <c r="J1287" s="110">
        <f>I1304</f>
        <v>197606</v>
      </c>
    </row>
    <row r="1288" spans="2:10" ht="15.95" customHeight="1" thickBot="1" x14ac:dyDescent="0.3">
      <c r="C1288" s="111" t="s">
        <v>328</v>
      </c>
      <c r="D1288" s="112" t="s">
        <v>359</v>
      </c>
      <c r="E1288" s="113" t="s">
        <v>360</v>
      </c>
      <c r="F1288" s="113" t="s">
        <v>330</v>
      </c>
      <c r="G1288" s="114" t="s">
        <v>361</v>
      </c>
      <c r="H1288" s="112" t="s">
        <v>362</v>
      </c>
      <c r="I1288" s="115" t="s">
        <v>363</v>
      </c>
    </row>
    <row r="1289" spans="2:10" ht="15.95" customHeight="1" x14ac:dyDescent="0.25">
      <c r="C1289" s="116" t="s">
        <v>364</v>
      </c>
      <c r="D1289" s="117" t="s">
        <v>365</v>
      </c>
      <c r="E1289" s="118"/>
      <c r="F1289" s="118"/>
      <c r="G1289" s="165"/>
      <c r="H1289" s="144"/>
      <c r="I1289" s="126"/>
    </row>
    <row r="1290" spans="2:10" ht="15.95" customHeight="1" x14ac:dyDescent="0.25">
      <c r="C1290" s="122"/>
      <c r="D1290" s="117" t="s">
        <v>366</v>
      </c>
      <c r="E1290" s="123" t="s">
        <v>367</v>
      </c>
      <c r="F1290" s="123" t="s">
        <v>368</v>
      </c>
      <c r="G1290" s="124">
        <v>0.15</v>
      </c>
      <c r="H1290" s="125">
        <f>VLOOKUP(D1290,Upah,8,FALSE)</f>
        <v>125000</v>
      </c>
      <c r="I1290" s="126">
        <f>G1290*H1290</f>
        <v>18750</v>
      </c>
    </row>
    <row r="1291" spans="2:10" ht="15.95" customHeight="1" x14ac:dyDescent="0.25">
      <c r="C1291" s="122"/>
      <c r="D1291" s="117" t="s">
        <v>369</v>
      </c>
      <c r="E1291" s="123" t="s">
        <v>370</v>
      </c>
      <c r="F1291" s="123" t="s">
        <v>368</v>
      </c>
      <c r="G1291" s="124">
        <v>0.05</v>
      </c>
      <c r="H1291" s="125">
        <f>VLOOKUP(D1291,Upah,8,FALSE)</f>
        <v>150000</v>
      </c>
      <c r="I1291" s="126">
        <f>G1291*H1291</f>
        <v>7500</v>
      </c>
    </row>
    <row r="1292" spans="2:10" ht="15.95" customHeight="1" x14ac:dyDescent="0.25">
      <c r="C1292" s="122"/>
      <c r="D1292" s="117" t="s">
        <v>371</v>
      </c>
      <c r="E1292" s="123" t="s">
        <v>372</v>
      </c>
      <c r="F1292" s="123" t="s">
        <v>368</v>
      </c>
      <c r="G1292" s="124">
        <v>5.0000000000000001E-3</v>
      </c>
      <c r="H1292" s="125">
        <f>VLOOKUP(D1292,Upah,8,FALSE)</f>
        <v>165000</v>
      </c>
      <c r="I1292" s="126">
        <f>G1292*H1292</f>
        <v>825</v>
      </c>
    </row>
    <row r="1293" spans="2:10" ht="15.95" customHeight="1" thickBot="1" x14ac:dyDescent="0.3">
      <c r="C1293" s="122"/>
      <c r="D1293" s="117" t="s">
        <v>373</v>
      </c>
      <c r="E1293" s="123" t="s">
        <v>374</v>
      </c>
      <c r="F1293" s="123" t="s">
        <v>368</v>
      </c>
      <c r="G1293" s="124">
        <v>8.0000000000000002E-3</v>
      </c>
      <c r="H1293" s="125">
        <f>VLOOKUP(D1293,Upah,8,FALSE)</f>
        <v>170000</v>
      </c>
      <c r="I1293" s="126">
        <f>G1293*H1293</f>
        <v>1360</v>
      </c>
    </row>
    <row r="1294" spans="2:10" ht="15.95" customHeight="1" thickBot="1" x14ac:dyDescent="0.3">
      <c r="C1294" s="132"/>
      <c r="D1294" s="133"/>
      <c r="E1294" s="134"/>
      <c r="F1294" s="134"/>
      <c r="G1294" s="135" t="s">
        <v>375</v>
      </c>
      <c r="H1294" s="136"/>
      <c r="I1294" s="137">
        <f>SUM(I1290:I1293)</f>
        <v>28435</v>
      </c>
    </row>
    <row r="1295" spans="2:10" ht="15.95" customHeight="1" x14ac:dyDescent="0.25">
      <c r="C1295" s="116" t="s">
        <v>376</v>
      </c>
      <c r="D1295" s="117" t="s">
        <v>377</v>
      </c>
      <c r="E1295" s="118"/>
      <c r="F1295" s="118"/>
      <c r="G1295" s="165"/>
      <c r="H1295" s="144"/>
      <c r="I1295" s="126"/>
    </row>
    <row r="1296" spans="2:10" ht="15.95" customHeight="1" x14ac:dyDescent="0.25">
      <c r="C1296" s="122"/>
      <c r="D1296" s="117" t="s">
        <v>608</v>
      </c>
      <c r="E1296" s="118"/>
      <c r="F1296" s="123" t="s">
        <v>158</v>
      </c>
      <c r="G1296" s="124">
        <v>2.64E-2</v>
      </c>
      <c r="H1296" s="144">
        <f>VLOOKUP(D1296,Bahan,6,FALSE)</f>
        <v>4500000</v>
      </c>
      <c r="I1296" s="126">
        <f>G1296*H1296</f>
        <v>118800</v>
      </c>
    </row>
    <row r="1297" spans="2:10" ht="15.95" customHeight="1" x14ac:dyDescent="0.25">
      <c r="C1297" s="122"/>
      <c r="D1297" s="117" t="s">
        <v>593</v>
      </c>
      <c r="E1297" s="118"/>
      <c r="F1297" s="123" t="s">
        <v>133</v>
      </c>
      <c r="G1297" s="124">
        <v>0.6</v>
      </c>
      <c r="H1297" s="144">
        <f>VLOOKUP(D1297,Bahan,6,FALSE)</f>
        <v>27970</v>
      </c>
      <c r="I1297" s="126">
        <f>G1297*H1297</f>
        <v>16782</v>
      </c>
    </row>
    <row r="1298" spans="2:10" ht="15.95" customHeight="1" thickBot="1" x14ac:dyDescent="0.3">
      <c r="C1298" s="122"/>
      <c r="D1298" s="117" t="s">
        <v>378</v>
      </c>
      <c r="E1298" s="118"/>
      <c r="F1298" s="123" t="s">
        <v>379</v>
      </c>
      <c r="G1298" s="124">
        <v>0.5</v>
      </c>
      <c r="H1298" s="144">
        <f>VLOOKUP(D1298,Bahan,6,FALSE)</f>
        <v>31250</v>
      </c>
      <c r="I1298" s="126">
        <f>G1298*H1298</f>
        <v>15625</v>
      </c>
    </row>
    <row r="1299" spans="2:10" ht="15.95" customHeight="1" thickBot="1" x14ac:dyDescent="0.3">
      <c r="C1299" s="132"/>
      <c r="D1299" s="133"/>
      <c r="E1299" s="134"/>
      <c r="F1299" s="134"/>
      <c r="G1299" s="135" t="s">
        <v>386</v>
      </c>
      <c r="H1299" s="136"/>
      <c r="I1299" s="137">
        <f>SUM(I1296:I1298)</f>
        <v>151207</v>
      </c>
    </row>
    <row r="1300" spans="2:10" ht="15.95" customHeight="1" thickBot="1" x14ac:dyDescent="0.3">
      <c r="C1300" s="116" t="s">
        <v>387</v>
      </c>
      <c r="D1300" s="117" t="s">
        <v>388</v>
      </c>
      <c r="E1300" s="118"/>
      <c r="F1300" s="118"/>
      <c r="G1300" s="165"/>
      <c r="H1300" s="144">
        <f>IF(AND(D1300&lt;&gt;"",F1300&lt;&gt;""),IF(C1300="",IF(F1300="OH",VLOOKUP(D1300,[1]UPAH!$B$3:$G$32,7,0),VLOOKUP(D1300,[1]BAHAN!$A$2:$D$3,4,0)),0),0)</f>
        <v>0</v>
      </c>
      <c r="I1300" s="126">
        <f>G1300*H1300</f>
        <v>0</v>
      </c>
    </row>
    <row r="1301" spans="2:10" ht="15.95" customHeight="1" thickBot="1" x14ac:dyDescent="0.3">
      <c r="C1301" s="132"/>
      <c r="D1301" s="133"/>
      <c r="E1301" s="134"/>
      <c r="F1301" s="134"/>
      <c r="G1301" s="135" t="s">
        <v>389</v>
      </c>
      <c r="H1301" s="136"/>
      <c r="I1301" s="137">
        <f>I1300</f>
        <v>0</v>
      </c>
    </row>
    <row r="1302" spans="2:10" ht="15.95" customHeight="1" x14ac:dyDescent="0.25">
      <c r="C1302" s="158" t="s">
        <v>390</v>
      </c>
      <c r="D1302" s="159" t="s">
        <v>391</v>
      </c>
      <c r="E1302" s="160"/>
      <c r="F1302" s="160"/>
      <c r="G1302" s="161"/>
      <c r="H1302" s="162">
        <f>IF(AND(D1302&lt;&gt;"",F1302&lt;&gt;""),IF(C1302="",IF(F1302="OH",VLOOKUP(D1302,[1]UPAH!$B$3:$G$32,7,0),VLOOKUP(D1302,[1]BAHAN!$A$2:$D$3,4,0)),0),0)</f>
        <v>0</v>
      </c>
      <c r="I1302" s="126">
        <f>SUM(I1290:I1301)/2</f>
        <v>179642</v>
      </c>
    </row>
    <row r="1303" spans="2:10" ht="15.95" customHeight="1" thickBot="1" x14ac:dyDescent="0.3">
      <c r="C1303" s="147" t="s">
        <v>392</v>
      </c>
      <c r="D1303" s="148" t="s">
        <v>393</v>
      </c>
      <c r="E1303" s="149"/>
      <c r="F1303" s="149"/>
      <c r="G1303" s="164">
        <v>0.1</v>
      </c>
      <c r="H1303" s="151"/>
      <c r="I1303" s="146">
        <f>G1303*I1302</f>
        <v>17964.2</v>
      </c>
    </row>
    <row r="1304" spans="2:10" ht="15.95" customHeight="1" thickBot="1" x14ac:dyDescent="0.3">
      <c r="C1304" s="111" t="s">
        <v>394</v>
      </c>
      <c r="D1304" s="112" t="s">
        <v>395</v>
      </c>
      <c r="E1304" s="134"/>
      <c r="F1304" s="134"/>
      <c r="G1304" s="156"/>
      <c r="H1304" s="136">
        <f>IF(AND(D1304&lt;&gt;"",F1304&lt;&gt;""),IF(C1304="",IF(F1304="OH",VLOOKUP(D1304,[1]UPAH!$B$3:$G$32,7,0),VLOOKUP(D1304,[1]BAHAN!$A$2:$D$3,4,0)),0),0)</f>
        <v>0</v>
      </c>
      <c r="I1304" s="137">
        <f>ROUNDDOWN(I1302+I1303,0)</f>
        <v>197606</v>
      </c>
    </row>
    <row r="1305" spans="2:10" ht="15.95" customHeight="1" x14ac:dyDescent="0.25">
      <c r="C1305" s="109"/>
      <c r="D1305" s="109"/>
      <c r="G1305" s="157"/>
      <c r="H1305" s="166"/>
      <c r="I1305" s="110"/>
    </row>
    <row r="1306" spans="2:10" ht="15.95" customHeight="1" thickBot="1" x14ac:dyDescent="0.3">
      <c r="B1306" s="109" t="s">
        <v>609</v>
      </c>
      <c r="C1306" s="104" t="s">
        <v>610</v>
      </c>
      <c r="G1306" s="157"/>
      <c r="J1306" s="110">
        <f>I1330</f>
        <v>6041556</v>
      </c>
    </row>
    <row r="1307" spans="2:10" ht="15.95" customHeight="1" thickBot="1" x14ac:dyDescent="0.3">
      <c r="C1307" s="111" t="s">
        <v>328</v>
      </c>
      <c r="D1307" s="112" t="s">
        <v>359</v>
      </c>
      <c r="E1307" s="113" t="s">
        <v>360</v>
      </c>
      <c r="F1307" s="113" t="s">
        <v>330</v>
      </c>
      <c r="G1307" s="114" t="s">
        <v>361</v>
      </c>
      <c r="H1307" s="112" t="s">
        <v>362</v>
      </c>
      <c r="I1307" s="115" t="s">
        <v>363</v>
      </c>
    </row>
    <row r="1308" spans="2:10" ht="15.95" customHeight="1" x14ac:dyDescent="0.25">
      <c r="C1308" s="116" t="s">
        <v>364</v>
      </c>
      <c r="D1308" s="117" t="s">
        <v>365</v>
      </c>
      <c r="E1308" s="118"/>
      <c r="F1308" s="118"/>
      <c r="G1308" s="165"/>
      <c r="H1308" s="144"/>
      <c r="I1308" s="126"/>
    </row>
    <row r="1309" spans="2:10" ht="15.95" customHeight="1" x14ac:dyDescent="0.25">
      <c r="C1309" s="122"/>
      <c r="D1309" s="117" t="s">
        <v>366</v>
      </c>
      <c r="E1309" s="123" t="s">
        <v>367</v>
      </c>
      <c r="F1309" s="123" t="s">
        <v>368</v>
      </c>
      <c r="G1309" s="124">
        <v>5.3</v>
      </c>
      <c r="H1309" s="125">
        <f t="shared" ref="H1309:H1314" si="25">VLOOKUP(D1309,Upah,8,FALSE)</f>
        <v>125000</v>
      </c>
      <c r="I1309" s="126">
        <f t="shared" ref="I1309:I1314" si="26">G1309*H1309</f>
        <v>662500</v>
      </c>
    </row>
    <row r="1310" spans="2:10" ht="15.95" customHeight="1" x14ac:dyDescent="0.25">
      <c r="C1310" s="122"/>
      <c r="D1310" s="117" t="s">
        <v>413</v>
      </c>
      <c r="E1310" s="123" t="s">
        <v>414</v>
      </c>
      <c r="F1310" s="123" t="s">
        <v>368</v>
      </c>
      <c r="G1310" s="124">
        <v>0.27500000000000002</v>
      </c>
      <c r="H1310" s="125">
        <f t="shared" si="25"/>
        <v>150000</v>
      </c>
      <c r="I1310" s="126">
        <f t="shared" si="26"/>
        <v>41250</v>
      </c>
    </row>
    <row r="1311" spans="2:10" ht="15.95" customHeight="1" x14ac:dyDescent="0.25">
      <c r="C1311" s="122"/>
      <c r="D1311" s="117" t="s">
        <v>611</v>
      </c>
      <c r="E1311" s="123" t="s">
        <v>370</v>
      </c>
      <c r="F1311" s="123" t="s">
        <v>368</v>
      </c>
      <c r="G1311" s="124">
        <v>1.3</v>
      </c>
      <c r="H1311" s="125">
        <f t="shared" si="25"/>
        <v>150000</v>
      </c>
      <c r="I1311" s="126">
        <f t="shared" si="26"/>
        <v>195000</v>
      </c>
    </row>
    <row r="1312" spans="2:10" ht="15.95" customHeight="1" x14ac:dyDescent="0.25">
      <c r="C1312" s="122"/>
      <c r="D1312" s="117" t="s">
        <v>612</v>
      </c>
      <c r="E1312" s="123" t="s">
        <v>578</v>
      </c>
      <c r="F1312" s="123" t="s">
        <v>368</v>
      </c>
      <c r="G1312" s="124">
        <v>1.05</v>
      </c>
      <c r="H1312" s="125">
        <f t="shared" si="25"/>
        <v>150000</v>
      </c>
      <c r="I1312" s="126">
        <f t="shared" si="26"/>
        <v>157500</v>
      </c>
    </row>
    <row r="1313" spans="3:9" ht="15.95" customHeight="1" x14ac:dyDescent="0.25">
      <c r="C1313" s="122"/>
      <c r="D1313" s="117" t="s">
        <v>429</v>
      </c>
      <c r="E1313" s="123" t="s">
        <v>372</v>
      </c>
      <c r="F1313" s="123" t="s">
        <v>368</v>
      </c>
      <c r="G1313" s="124">
        <v>0.26200000000000001</v>
      </c>
      <c r="H1313" s="125">
        <f t="shared" si="25"/>
        <v>165000</v>
      </c>
      <c r="I1313" s="126">
        <f t="shared" si="26"/>
        <v>43230</v>
      </c>
    </row>
    <row r="1314" spans="3:9" ht="15.95" customHeight="1" thickBot="1" x14ac:dyDescent="0.3">
      <c r="C1314" s="122"/>
      <c r="D1314" s="117" t="s">
        <v>373</v>
      </c>
      <c r="E1314" s="123" t="s">
        <v>374</v>
      </c>
      <c r="F1314" s="123" t="s">
        <v>368</v>
      </c>
      <c r="G1314" s="124">
        <v>0.26500000000000001</v>
      </c>
      <c r="H1314" s="125">
        <f t="shared" si="25"/>
        <v>170000</v>
      </c>
      <c r="I1314" s="126">
        <f t="shared" si="26"/>
        <v>45050</v>
      </c>
    </row>
    <row r="1315" spans="3:9" ht="15.95" customHeight="1" thickBot="1" x14ac:dyDescent="0.3">
      <c r="C1315" s="132"/>
      <c r="D1315" s="133"/>
      <c r="E1315" s="134"/>
      <c r="F1315" s="134"/>
      <c r="G1315" s="135" t="s">
        <v>375</v>
      </c>
      <c r="H1315" s="136"/>
      <c r="I1315" s="137">
        <f>SUM(I1309:I1314)</f>
        <v>1144530</v>
      </c>
    </row>
    <row r="1316" spans="3:9" ht="15.95" customHeight="1" x14ac:dyDescent="0.25">
      <c r="C1316" s="116" t="s">
        <v>376</v>
      </c>
      <c r="D1316" s="117" t="s">
        <v>377</v>
      </c>
      <c r="E1316" s="118"/>
      <c r="F1316" s="118"/>
      <c r="G1316" s="165"/>
      <c r="H1316" s="144"/>
      <c r="I1316" s="126"/>
    </row>
    <row r="1317" spans="3:9" ht="15.95" customHeight="1" x14ac:dyDescent="0.25">
      <c r="C1317" s="122"/>
      <c r="D1317" s="117" t="s">
        <v>586</v>
      </c>
      <c r="E1317" s="118"/>
      <c r="F1317" s="123" t="s">
        <v>158</v>
      </c>
      <c r="G1317" s="124">
        <v>0.2</v>
      </c>
      <c r="H1317" s="144">
        <f t="shared" ref="H1317:H1324" si="27">VLOOKUP(D1317,Bahan,6,FALSE)</f>
        <v>4500000</v>
      </c>
      <c r="I1317" s="126">
        <f t="shared" ref="I1317:I1324" si="28">G1317*H1317</f>
        <v>900000</v>
      </c>
    </row>
    <row r="1318" spans="3:9" ht="15.95" customHeight="1" x14ac:dyDescent="0.25">
      <c r="C1318" s="122"/>
      <c r="D1318" s="117" t="s">
        <v>613</v>
      </c>
      <c r="E1318" s="118"/>
      <c r="F1318" s="123" t="s">
        <v>133</v>
      </c>
      <c r="G1318" s="124">
        <v>1.5</v>
      </c>
      <c r="H1318" s="144">
        <f t="shared" si="27"/>
        <v>27970</v>
      </c>
      <c r="I1318" s="126">
        <f t="shared" si="28"/>
        <v>41955</v>
      </c>
    </row>
    <row r="1319" spans="3:9" ht="15.95" customHeight="1" x14ac:dyDescent="0.25">
      <c r="C1319" s="122"/>
      <c r="D1319" s="117" t="s">
        <v>588</v>
      </c>
      <c r="E1319" s="118"/>
      <c r="F1319" s="123" t="s">
        <v>385</v>
      </c>
      <c r="G1319" s="124">
        <v>0.4</v>
      </c>
      <c r="H1319" s="144">
        <f t="shared" si="27"/>
        <v>7310</v>
      </c>
      <c r="I1319" s="126">
        <f t="shared" si="28"/>
        <v>2924</v>
      </c>
    </row>
    <row r="1320" spans="3:9" ht="15.95" customHeight="1" x14ac:dyDescent="0.25">
      <c r="C1320" s="122"/>
      <c r="D1320" s="117" t="s">
        <v>524</v>
      </c>
      <c r="E1320" s="118"/>
      <c r="F1320" s="123" t="s">
        <v>133</v>
      </c>
      <c r="G1320" s="124">
        <v>157.5</v>
      </c>
      <c r="H1320" s="144">
        <f t="shared" si="27"/>
        <v>12920</v>
      </c>
      <c r="I1320" s="126">
        <f t="shared" si="28"/>
        <v>2034900</v>
      </c>
    </row>
    <row r="1321" spans="3:9" ht="15.95" customHeight="1" x14ac:dyDescent="0.25">
      <c r="C1321" s="122"/>
      <c r="D1321" s="117" t="s">
        <v>525</v>
      </c>
      <c r="E1321" s="118"/>
      <c r="F1321" s="123" t="s">
        <v>133</v>
      </c>
      <c r="G1321" s="124">
        <v>2.25</v>
      </c>
      <c r="H1321" s="144">
        <f t="shared" si="27"/>
        <v>27260</v>
      </c>
      <c r="I1321" s="126">
        <f t="shared" si="28"/>
        <v>61335</v>
      </c>
    </row>
    <row r="1322" spans="3:9" ht="15.95" customHeight="1" x14ac:dyDescent="0.25">
      <c r="C1322" s="122"/>
      <c r="D1322" s="117" t="s">
        <v>380</v>
      </c>
      <c r="E1322" s="118"/>
      <c r="F1322" s="123" t="s">
        <v>133</v>
      </c>
      <c r="G1322" s="124">
        <v>336</v>
      </c>
      <c r="H1322" s="144">
        <f t="shared" si="27"/>
        <v>1880</v>
      </c>
      <c r="I1322" s="126">
        <f t="shared" si="28"/>
        <v>631680</v>
      </c>
    </row>
    <row r="1323" spans="3:9" ht="15.95" customHeight="1" x14ac:dyDescent="0.25">
      <c r="C1323" s="122"/>
      <c r="D1323" s="117" t="s">
        <v>1924</v>
      </c>
      <c r="E1323" s="118"/>
      <c r="F1323" s="123" t="s">
        <v>158</v>
      </c>
      <c r="G1323" s="124">
        <v>0.54</v>
      </c>
      <c r="H1323" s="144">
        <f t="shared" si="27"/>
        <v>350000</v>
      </c>
      <c r="I1323" s="126">
        <f t="shared" si="28"/>
        <v>189000</v>
      </c>
    </row>
    <row r="1324" spans="3:9" ht="15.95" customHeight="1" thickBot="1" x14ac:dyDescent="0.3">
      <c r="C1324" s="122"/>
      <c r="D1324" s="117" t="s">
        <v>1922</v>
      </c>
      <c r="E1324" s="118"/>
      <c r="F1324" s="123" t="s">
        <v>158</v>
      </c>
      <c r="G1324" s="124">
        <v>0.81</v>
      </c>
      <c r="H1324" s="144">
        <f t="shared" si="27"/>
        <v>600000</v>
      </c>
      <c r="I1324" s="126">
        <f t="shared" si="28"/>
        <v>486000.00000000006</v>
      </c>
    </row>
    <row r="1325" spans="3:9" ht="15.95" customHeight="1" thickBot="1" x14ac:dyDescent="0.3">
      <c r="C1325" s="132"/>
      <c r="D1325" s="133"/>
      <c r="E1325" s="134"/>
      <c r="F1325" s="134"/>
      <c r="G1325" s="135" t="s">
        <v>386</v>
      </c>
      <c r="H1325" s="136"/>
      <c r="I1325" s="137">
        <f>SUM(I1317:I1324)</f>
        <v>4347794</v>
      </c>
    </row>
    <row r="1326" spans="3:9" ht="15.95" customHeight="1" thickBot="1" x14ac:dyDescent="0.3">
      <c r="C1326" s="116" t="s">
        <v>387</v>
      </c>
      <c r="D1326" s="117" t="s">
        <v>388</v>
      </c>
      <c r="E1326" s="118"/>
      <c r="F1326" s="118"/>
      <c r="G1326" s="165"/>
      <c r="H1326" s="144">
        <f>IF(AND(D1326&lt;&gt;"",F1326&lt;&gt;""),IF(C1326="",IF(F1326="OH",VLOOKUP(D1326,[1]UPAH!$B$3:$G$32,7,0),VLOOKUP(D1326,[1]BAHAN!$A$2:$D$3,4,0)),0),0)</f>
        <v>0</v>
      </c>
      <c r="I1326" s="126">
        <f>G1326*H1326</f>
        <v>0</v>
      </c>
    </row>
    <row r="1327" spans="3:9" ht="15.95" customHeight="1" thickBot="1" x14ac:dyDescent="0.3">
      <c r="C1327" s="132"/>
      <c r="D1327" s="133"/>
      <c r="E1327" s="134"/>
      <c r="F1327" s="134"/>
      <c r="G1327" s="135" t="s">
        <v>389</v>
      </c>
      <c r="H1327" s="136"/>
      <c r="I1327" s="137">
        <f>I1326</f>
        <v>0</v>
      </c>
    </row>
    <row r="1328" spans="3:9" ht="15.95" customHeight="1" x14ac:dyDescent="0.25">
      <c r="C1328" s="158" t="s">
        <v>390</v>
      </c>
      <c r="D1328" s="159" t="s">
        <v>391</v>
      </c>
      <c r="E1328" s="160"/>
      <c r="F1328" s="160"/>
      <c r="G1328" s="161"/>
      <c r="H1328" s="162">
        <f>IF(AND(D1328&lt;&gt;"",F1328&lt;&gt;""),IF(C1328="",IF(F1328="OH",VLOOKUP(D1328,[1]UPAH!$B$3:$G$32,7,0),VLOOKUP(D1328,[1]BAHAN!$A$2:$D$3,4,0)),0),0)</f>
        <v>0</v>
      </c>
      <c r="I1328" s="126">
        <f>SUM(I1308:I1327)/2</f>
        <v>5492324</v>
      </c>
    </row>
    <row r="1329" spans="2:10" ht="15.95" customHeight="1" thickBot="1" x14ac:dyDescent="0.3">
      <c r="C1329" s="147" t="s">
        <v>392</v>
      </c>
      <c r="D1329" s="148" t="s">
        <v>393</v>
      </c>
      <c r="E1329" s="149"/>
      <c r="F1329" s="149"/>
      <c r="G1329" s="164">
        <v>0.1</v>
      </c>
      <c r="H1329" s="151"/>
      <c r="I1329" s="146">
        <f>G1329*I1328</f>
        <v>549232.4</v>
      </c>
    </row>
    <row r="1330" spans="2:10" ht="15.95" customHeight="1" thickBot="1" x14ac:dyDescent="0.3">
      <c r="C1330" s="111" t="s">
        <v>394</v>
      </c>
      <c r="D1330" s="112" t="s">
        <v>395</v>
      </c>
      <c r="E1330" s="134"/>
      <c r="F1330" s="134"/>
      <c r="G1330" s="156"/>
      <c r="H1330" s="136">
        <f>IF(AND(D1330&lt;&gt;"",F1330&lt;&gt;""),IF(C1330="",IF(F1330="OH",VLOOKUP(D1330,[1]UPAH!$B$3:$G$32,7,0),VLOOKUP(D1330,[1]BAHAN!$A$2:$D$3,4,0)),0),0)</f>
        <v>0</v>
      </c>
      <c r="I1330" s="137">
        <f>ROUNDDOWN(I1328+I1329,0)</f>
        <v>6041556</v>
      </c>
    </row>
    <row r="1331" spans="2:10" ht="15.95" customHeight="1" x14ac:dyDescent="0.25">
      <c r="C1331" s="109"/>
      <c r="D1331" s="109"/>
      <c r="G1331" s="157"/>
      <c r="H1331" s="166"/>
      <c r="I1331" s="110"/>
    </row>
    <row r="1332" spans="2:10" ht="15.95" customHeight="1" thickBot="1" x14ac:dyDescent="0.3">
      <c r="B1332" s="247" t="s">
        <v>614</v>
      </c>
      <c r="C1332" s="104" t="s">
        <v>615</v>
      </c>
      <c r="G1332" s="157"/>
      <c r="J1332" s="110">
        <f>I1356</f>
        <v>7336880</v>
      </c>
    </row>
    <row r="1333" spans="2:10" ht="15.95" customHeight="1" thickBot="1" x14ac:dyDescent="0.3">
      <c r="C1333" s="111" t="s">
        <v>328</v>
      </c>
      <c r="D1333" s="112" t="s">
        <v>359</v>
      </c>
      <c r="E1333" s="113" t="s">
        <v>360</v>
      </c>
      <c r="F1333" s="113" t="s">
        <v>330</v>
      </c>
      <c r="G1333" s="114" t="s">
        <v>361</v>
      </c>
      <c r="H1333" s="112" t="s">
        <v>362</v>
      </c>
      <c r="I1333" s="115" t="s">
        <v>363</v>
      </c>
    </row>
    <row r="1334" spans="2:10" ht="15.95" customHeight="1" x14ac:dyDescent="0.25">
      <c r="C1334" s="116" t="s">
        <v>364</v>
      </c>
      <c r="D1334" s="117" t="s">
        <v>365</v>
      </c>
      <c r="E1334" s="118"/>
      <c r="F1334" s="118"/>
      <c r="G1334" s="165"/>
      <c r="H1334" s="144"/>
      <c r="I1334" s="126"/>
    </row>
    <row r="1335" spans="2:10" ht="15.95" customHeight="1" x14ac:dyDescent="0.25">
      <c r="C1335" s="122"/>
      <c r="D1335" s="117" t="s">
        <v>366</v>
      </c>
      <c r="E1335" s="123" t="s">
        <v>367</v>
      </c>
      <c r="F1335" s="123" t="s">
        <v>368</v>
      </c>
      <c r="G1335" s="124">
        <v>5.65</v>
      </c>
      <c r="H1335" s="125">
        <f t="shared" ref="H1335:H1340" si="29">VLOOKUP(D1335,Upah,8,FALSE)</f>
        <v>125000</v>
      </c>
      <c r="I1335" s="126">
        <f t="shared" ref="I1335:I1340" si="30">G1335*H1335</f>
        <v>706250</v>
      </c>
    </row>
    <row r="1336" spans="2:10" ht="15.95" customHeight="1" x14ac:dyDescent="0.25">
      <c r="C1336" s="122"/>
      <c r="D1336" s="117" t="s">
        <v>413</v>
      </c>
      <c r="E1336" s="123" t="s">
        <v>414</v>
      </c>
      <c r="F1336" s="123" t="s">
        <v>368</v>
      </c>
      <c r="G1336" s="124">
        <v>0.27500000000000002</v>
      </c>
      <c r="H1336" s="125">
        <f t="shared" si="29"/>
        <v>150000</v>
      </c>
      <c r="I1336" s="126">
        <f t="shared" si="30"/>
        <v>41250</v>
      </c>
    </row>
    <row r="1337" spans="2:10" ht="15.95" customHeight="1" x14ac:dyDescent="0.25">
      <c r="C1337" s="122"/>
      <c r="D1337" s="117" t="s">
        <v>611</v>
      </c>
      <c r="E1337" s="123" t="s">
        <v>370</v>
      </c>
      <c r="F1337" s="123" t="s">
        <v>368</v>
      </c>
      <c r="G1337" s="124">
        <v>1.56</v>
      </c>
      <c r="H1337" s="125">
        <f t="shared" si="29"/>
        <v>150000</v>
      </c>
      <c r="I1337" s="126">
        <f t="shared" si="30"/>
        <v>234000</v>
      </c>
    </row>
    <row r="1338" spans="2:10" ht="15.95" customHeight="1" x14ac:dyDescent="0.25">
      <c r="C1338" s="122"/>
      <c r="D1338" s="117" t="s">
        <v>612</v>
      </c>
      <c r="E1338" s="123" t="s">
        <v>578</v>
      </c>
      <c r="F1338" s="123" t="s">
        <v>368</v>
      </c>
      <c r="G1338" s="124">
        <v>1.4</v>
      </c>
      <c r="H1338" s="125">
        <f t="shared" si="29"/>
        <v>150000</v>
      </c>
      <c r="I1338" s="126">
        <f t="shared" si="30"/>
        <v>210000</v>
      </c>
    </row>
    <row r="1339" spans="2:10" ht="15.95" customHeight="1" x14ac:dyDescent="0.25">
      <c r="C1339" s="122"/>
      <c r="D1339" s="117" t="s">
        <v>429</v>
      </c>
      <c r="E1339" s="123" t="s">
        <v>372</v>
      </c>
      <c r="F1339" s="123" t="s">
        <v>368</v>
      </c>
      <c r="G1339" s="124">
        <v>0.32300000000000001</v>
      </c>
      <c r="H1339" s="125">
        <f t="shared" si="29"/>
        <v>165000</v>
      </c>
      <c r="I1339" s="126">
        <f t="shared" si="30"/>
        <v>53295</v>
      </c>
    </row>
    <row r="1340" spans="2:10" ht="15.95" customHeight="1" thickBot="1" x14ac:dyDescent="0.3">
      <c r="C1340" s="122"/>
      <c r="D1340" s="117" t="s">
        <v>373</v>
      </c>
      <c r="E1340" s="123" t="s">
        <v>374</v>
      </c>
      <c r="F1340" s="123" t="s">
        <v>368</v>
      </c>
      <c r="G1340" s="124">
        <v>0.28299999999999997</v>
      </c>
      <c r="H1340" s="125">
        <f t="shared" si="29"/>
        <v>170000</v>
      </c>
      <c r="I1340" s="126">
        <f t="shared" si="30"/>
        <v>48109.999999999993</v>
      </c>
    </row>
    <row r="1341" spans="2:10" ht="15.95" customHeight="1" thickBot="1" x14ac:dyDescent="0.3">
      <c r="C1341" s="132"/>
      <c r="D1341" s="133"/>
      <c r="E1341" s="134"/>
      <c r="F1341" s="134"/>
      <c r="G1341" s="135" t="s">
        <v>375</v>
      </c>
      <c r="H1341" s="136"/>
      <c r="I1341" s="137">
        <f>SUM(I1335:I1340)</f>
        <v>1292905</v>
      </c>
    </row>
    <row r="1342" spans="2:10" ht="15.95" customHeight="1" x14ac:dyDescent="0.25">
      <c r="C1342" s="116" t="s">
        <v>376</v>
      </c>
      <c r="D1342" s="117" t="s">
        <v>377</v>
      </c>
      <c r="E1342" s="118"/>
      <c r="F1342" s="118"/>
      <c r="G1342" s="165"/>
      <c r="H1342" s="144"/>
      <c r="I1342" s="126"/>
    </row>
    <row r="1343" spans="2:10" ht="15.95" customHeight="1" x14ac:dyDescent="0.25">
      <c r="C1343" s="122"/>
      <c r="D1343" s="117" t="s">
        <v>586</v>
      </c>
      <c r="E1343" s="118"/>
      <c r="F1343" s="123" t="s">
        <v>158</v>
      </c>
      <c r="G1343" s="124">
        <v>0.27</v>
      </c>
      <c r="H1343" s="144">
        <f t="shared" ref="H1343:H1350" si="31">VLOOKUP(D1343,Bahan,6,FALSE)</f>
        <v>4500000</v>
      </c>
      <c r="I1343" s="126">
        <f t="shared" ref="I1343:I1350" si="32">G1343*H1343</f>
        <v>1215000</v>
      </c>
    </row>
    <row r="1344" spans="2:10" ht="15.95" customHeight="1" x14ac:dyDescent="0.25">
      <c r="C1344" s="122"/>
      <c r="D1344" s="117" t="s">
        <v>613</v>
      </c>
      <c r="E1344" s="118"/>
      <c r="F1344" s="123" t="s">
        <v>133</v>
      </c>
      <c r="G1344" s="124">
        <v>2</v>
      </c>
      <c r="H1344" s="144">
        <f t="shared" si="31"/>
        <v>27970</v>
      </c>
      <c r="I1344" s="126">
        <f t="shared" si="32"/>
        <v>55940</v>
      </c>
    </row>
    <row r="1345" spans="2:10" ht="15.95" customHeight="1" x14ac:dyDescent="0.25">
      <c r="C1345" s="122"/>
      <c r="D1345" s="117" t="s">
        <v>588</v>
      </c>
      <c r="E1345" s="118"/>
      <c r="F1345" s="123" t="s">
        <v>385</v>
      </c>
      <c r="G1345" s="124">
        <v>0.6</v>
      </c>
      <c r="H1345" s="144">
        <f t="shared" si="31"/>
        <v>7310</v>
      </c>
      <c r="I1345" s="126">
        <f t="shared" si="32"/>
        <v>4386</v>
      </c>
    </row>
    <row r="1346" spans="2:10" ht="15.95" customHeight="1" x14ac:dyDescent="0.25">
      <c r="C1346" s="122"/>
      <c r="D1346" s="117" t="s">
        <v>524</v>
      </c>
      <c r="E1346" s="118"/>
      <c r="F1346" s="123" t="s">
        <v>133</v>
      </c>
      <c r="G1346" s="124">
        <v>210</v>
      </c>
      <c r="H1346" s="144">
        <f t="shared" si="31"/>
        <v>12920</v>
      </c>
      <c r="I1346" s="126">
        <f t="shared" si="32"/>
        <v>2713200</v>
      </c>
    </row>
    <row r="1347" spans="2:10" ht="15.95" customHeight="1" x14ac:dyDescent="0.25">
      <c r="C1347" s="122"/>
      <c r="D1347" s="117" t="s">
        <v>525</v>
      </c>
      <c r="E1347" s="118"/>
      <c r="F1347" s="123" t="s">
        <v>133</v>
      </c>
      <c r="G1347" s="124">
        <v>3</v>
      </c>
      <c r="H1347" s="144">
        <f t="shared" si="31"/>
        <v>27260</v>
      </c>
      <c r="I1347" s="126">
        <f t="shared" si="32"/>
        <v>81780</v>
      </c>
    </row>
    <row r="1348" spans="2:10" ht="15.95" customHeight="1" x14ac:dyDescent="0.25">
      <c r="C1348" s="122"/>
      <c r="D1348" s="117" t="s">
        <v>380</v>
      </c>
      <c r="E1348" s="118"/>
      <c r="F1348" s="123" t="s">
        <v>133</v>
      </c>
      <c r="G1348" s="124">
        <v>336</v>
      </c>
      <c r="H1348" s="144">
        <f t="shared" si="31"/>
        <v>1880</v>
      </c>
      <c r="I1348" s="126">
        <f t="shared" si="32"/>
        <v>631680</v>
      </c>
    </row>
    <row r="1349" spans="2:10" ht="15.95" customHeight="1" x14ac:dyDescent="0.25">
      <c r="C1349" s="122"/>
      <c r="D1349" s="117" t="s">
        <v>1924</v>
      </c>
      <c r="E1349" s="118"/>
      <c r="F1349" s="123" t="s">
        <v>158</v>
      </c>
      <c r="G1349" s="124">
        <v>0.54</v>
      </c>
      <c r="H1349" s="144">
        <f t="shared" si="31"/>
        <v>350000</v>
      </c>
      <c r="I1349" s="126">
        <f t="shared" si="32"/>
        <v>189000</v>
      </c>
    </row>
    <row r="1350" spans="2:10" ht="15.95" customHeight="1" thickBot="1" x14ac:dyDescent="0.3">
      <c r="C1350" s="122"/>
      <c r="D1350" s="117" t="s">
        <v>1922</v>
      </c>
      <c r="E1350" s="118"/>
      <c r="F1350" s="123" t="s">
        <v>158</v>
      </c>
      <c r="G1350" s="124">
        <v>0.81</v>
      </c>
      <c r="H1350" s="144">
        <f t="shared" si="31"/>
        <v>600000</v>
      </c>
      <c r="I1350" s="126">
        <f t="shared" si="32"/>
        <v>486000.00000000006</v>
      </c>
    </row>
    <row r="1351" spans="2:10" ht="15.95" customHeight="1" thickBot="1" x14ac:dyDescent="0.3">
      <c r="C1351" s="132"/>
      <c r="D1351" s="133"/>
      <c r="E1351" s="134"/>
      <c r="F1351" s="134"/>
      <c r="G1351" s="135" t="s">
        <v>386</v>
      </c>
      <c r="H1351" s="136"/>
      <c r="I1351" s="137">
        <f>SUM(I1343:I1350)</f>
        <v>5376986</v>
      </c>
    </row>
    <row r="1352" spans="2:10" ht="15.95" customHeight="1" thickBot="1" x14ac:dyDescent="0.3">
      <c r="C1352" s="116" t="s">
        <v>387</v>
      </c>
      <c r="D1352" s="117" t="s">
        <v>388</v>
      </c>
      <c r="E1352" s="118"/>
      <c r="F1352" s="118"/>
      <c r="G1352" s="165"/>
      <c r="H1352" s="144">
        <f>IF(AND(D1352&lt;&gt;"",F1352&lt;&gt;""),IF(C1352="",IF(F1352="OH",VLOOKUP(D1352,[1]UPAH!$B$3:$G$32,7,0),VLOOKUP(D1352,[1]BAHAN!$A$2:$D$3,4,0)),0),0)</f>
        <v>0</v>
      </c>
      <c r="I1352" s="126">
        <f>G1352*H1352</f>
        <v>0</v>
      </c>
    </row>
    <row r="1353" spans="2:10" ht="15.95" customHeight="1" thickBot="1" x14ac:dyDescent="0.3">
      <c r="C1353" s="132"/>
      <c r="D1353" s="133"/>
      <c r="E1353" s="134"/>
      <c r="F1353" s="134"/>
      <c r="G1353" s="135" t="s">
        <v>389</v>
      </c>
      <c r="H1353" s="136"/>
      <c r="I1353" s="137">
        <f>I1352</f>
        <v>0</v>
      </c>
    </row>
    <row r="1354" spans="2:10" ht="15.95" customHeight="1" x14ac:dyDescent="0.25">
      <c r="C1354" s="158" t="s">
        <v>390</v>
      </c>
      <c r="D1354" s="159" t="s">
        <v>391</v>
      </c>
      <c r="E1354" s="160"/>
      <c r="F1354" s="160"/>
      <c r="G1354" s="161"/>
      <c r="H1354" s="162">
        <f>IF(AND(D1354&lt;&gt;"",F1354&lt;&gt;""),IF(C1354="",IF(F1354="OH",VLOOKUP(D1354,[1]UPAH!$B$3:$G$32,7,0),VLOOKUP(D1354,[1]BAHAN!$A$2:$D$3,4,0)),0),0)</f>
        <v>0</v>
      </c>
      <c r="I1354" s="126">
        <f>SUM(I1333:I1353)/2</f>
        <v>6669891</v>
      </c>
    </row>
    <row r="1355" spans="2:10" ht="15.95" customHeight="1" thickBot="1" x14ac:dyDescent="0.3">
      <c r="C1355" s="147" t="s">
        <v>392</v>
      </c>
      <c r="D1355" s="148" t="s">
        <v>393</v>
      </c>
      <c r="E1355" s="149"/>
      <c r="F1355" s="149"/>
      <c r="G1355" s="164">
        <v>0.1</v>
      </c>
      <c r="H1355" s="151"/>
      <c r="I1355" s="146">
        <f>G1355*I1354</f>
        <v>666989.10000000009</v>
      </c>
    </row>
    <row r="1356" spans="2:10" ht="15.95" customHeight="1" thickBot="1" x14ac:dyDescent="0.3">
      <c r="C1356" s="111" t="s">
        <v>394</v>
      </c>
      <c r="D1356" s="112" t="s">
        <v>395</v>
      </c>
      <c r="E1356" s="134"/>
      <c r="F1356" s="134"/>
      <c r="G1356" s="156"/>
      <c r="H1356" s="136">
        <f>IF(AND(D1356&lt;&gt;"",F1356&lt;&gt;""),IF(C1356="",IF(F1356="OH",VLOOKUP(D1356,[1]UPAH!$B$3:$G$32,7,0),VLOOKUP(D1356,[1]BAHAN!$A$2:$D$3,4,0)),0),0)</f>
        <v>0</v>
      </c>
      <c r="I1356" s="137">
        <f>ROUNDDOWN(I1354+I1355,0)</f>
        <v>7336880</v>
      </c>
    </row>
    <row r="1357" spans="2:10" ht="15.95" customHeight="1" x14ac:dyDescent="0.25">
      <c r="C1357" s="109"/>
      <c r="D1357" s="109"/>
      <c r="G1357" s="157"/>
      <c r="H1357" s="166"/>
      <c r="I1357" s="110"/>
    </row>
    <row r="1358" spans="2:10" ht="15.95" customHeight="1" thickBot="1" x14ac:dyDescent="0.3">
      <c r="B1358" s="109" t="s">
        <v>616</v>
      </c>
      <c r="C1358" s="104" t="s">
        <v>617</v>
      </c>
      <c r="G1358" s="157"/>
      <c r="J1358" s="110">
        <f>I1385</f>
        <v>12055620</v>
      </c>
    </row>
    <row r="1359" spans="2:10" ht="15.95" customHeight="1" thickBot="1" x14ac:dyDescent="0.3">
      <c r="C1359" s="111" t="s">
        <v>328</v>
      </c>
      <c r="D1359" s="112" t="s">
        <v>359</v>
      </c>
      <c r="E1359" s="113" t="s">
        <v>360</v>
      </c>
      <c r="F1359" s="113" t="s">
        <v>330</v>
      </c>
      <c r="G1359" s="114" t="s">
        <v>361</v>
      </c>
      <c r="H1359" s="112" t="s">
        <v>362</v>
      </c>
      <c r="I1359" s="115" t="s">
        <v>363</v>
      </c>
    </row>
    <row r="1360" spans="2:10" ht="15.95" customHeight="1" x14ac:dyDescent="0.25">
      <c r="C1360" s="116" t="s">
        <v>364</v>
      </c>
      <c r="D1360" s="117" t="s">
        <v>365</v>
      </c>
      <c r="E1360" s="118"/>
      <c r="F1360" s="118"/>
      <c r="G1360" s="165"/>
      <c r="H1360" s="144"/>
      <c r="I1360" s="126"/>
    </row>
    <row r="1361" spans="3:9" ht="15.95" customHeight="1" x14ac:dyDescent="0.25">
      <c r="C1361" s="122"/>
      <c r="D1361" s="117" t="s">
        <v>366</v>
      </c>
      <c r="E1361" s="123" t="s">
        <v>367</v>
      </c>
      <c r="F1361" s="123" t="s">
        <v>368</v>
      </c>
      <c r="G1361" s="124">
        <v>7.05</v>
      </c>
      <c r="H1361" s="125">
        <f t="shared" ref="H1361:H1366" si="33">VLOOKUP(D1361,Upah,8,FALSE)</f>
        <v>125000</v>
      </c>
      <c r="I1361" s="126">
        <f t="shared" ref="I1361:I1366" si="34">G1361*H1361</f>
        <v>881250</v>
      </c>
    </row>
    <row r="1362" spans="3:9" ht="15.95" customHeight="1" x14ac:dyDescent="0.25">
      <c r="C1362" s="122"/>
      <c r="D1362" s="117" t="s">
        <v>413</v>
      </c>
      <c r="E1362" s="123" t="s">
        <v>414</v>
      </c>
      <c r="F1362" s="123" t="s">
        <v>368</v>
      </c>
      <c r="G1362" s="124">
        <v>0.27500000000000002</v>
      </c>
      <c r="H1362" s="125">
        <f t="shared" si="33"/>
        <v>150000</v>
      </c>
      <c r="I1362" s="126">
        <f t="shared" si="34"/>
        <v>41250</v>
      </c>
    </row>
    <row r="1363" spans="3:9" ht="15.95" customHeight="1" x14ac:dyDescent="0.25">
      <c r="C1363" s="122"/>
      <c r="D1363" s="117" t="s">
        <v>611</v>
      </c>
      <c r="E1363" s="123" t="s">
        <v>370</v>
      </c>
      <c r="F1363" s="123" t="s">
        <v>368</v>
      </c>
      <c r="G1363" s="124">
        <v>1.65</v>
      </c>
      <c r="H1363" s="125">
        <f t="shared" si="33"/>
        <v>150000</v>
      </c>
      <c r="I1363" s="126">
        <f t="shared" si="34"/>
        <v>247500</v>
      </c>
    </row>
    <row r="1364" spans="3:9" ht="15.95" customHeight="1" x14ac:dyDescent="0.25">
      <c r="C1364" s="122"/>
      <c r="D1364" s="117" t="s">
        <v>612</v>
      </c>
      <c r="E1364" s="123" t="s">
        <v>578</v>
      </c>
      <c r="F1364" s="123" t="s">
        <v>368</v>
      </c>
      <c r="G1364" s="124">
        <v>2.1</v>
      </c>
      <c r="H1364" s="125">
        <f t="shared" si="33"/>
        <v>150000</v>
      </c>
      <c r="I1364" s="126">
        <f t="shared" si="34"/>
        <v>315000</v>
      </c>
    </row>
    <row r="1365" spans="3:9" ht="15.95" customHeight="1" x14ac:dyDescent="0.25">
      <c r="C1365" s="122"/>
      <c r="D1365" s="117" t="s">
        <v>429</v>
      </c>
      <c r="E1365" s="123" t="s">
        <v>372</v>
      </c>
      <c r="F1365" s="123" t="s">
        <v>368</v>
      </c>
      <c r="G1365" s="124">
        <v>0.40300000000000002</v>
      </c>
      <c r="H1365" s="125">
        <f t="shared" si="33"/>
        <v>165000</v>
      </c>
      <c r="I1365" s="126">
        <f t="shared" si="34"/>
        <v>66495</v>
      </c>
    </row>
    <row r="1366" spans="3:9" ht="15.95" customHeight="1" thickBot="1" x14ac:dyDescent="0.3">
      <c r="C1366" s="122"/>
      <c r="D1366" s="117" t="s">
        <v>373</v>
      </c>
      <c r="E1366" s="123" t="s">
        <v>374</v>
      </c>
      <c r="F1366" s="123" t="s">
        <v>368</v>
      </c>
      <c r="G1366" s="124">
        <v>0.35299999999999998</v>
      </c>
      <c r="H1366" s="125">
        <f t="shared" si="33"/>
        <v>170000</v>
      </c>
      <c r="I1366" s="126">
        <f t="shared" si="34"/>
        <v>60010</v>
      </c>
    </row>
    <row r="1367" spans="3:9" ht="15.95" customHeight="1" thickBot="1" x14ac:dyDescent="0.3">
      <c r="C1367" s="132"/>
      <c r="D1367" s="133"/>
      <c r="E1367" s="134"/>
      <c r="F1367" s="134"/>
      <c r="G1367" s="135" t="s">
        <v>375</v>
      </c>
      <c r="H1367" s="136"/>
      <c r="I1367" s="137">
        <f>SUM(I1361:I1366)</f>
        <v>1611505</v>
      </c>
    </row>
    <row r="1368" spans="3:9" ht="15.95" customHeight="1" x14ac:dyDescent="0.25">
      <c r="C1368" s="116" t="s">
        <v>376</v>
      </c>
      <c r="D1368" s="117" t="s">
        <v>377</v>
      </c>
      <c r="E1368" s="118"/>
      <c r="F1368" s="118"/>
      <c r="G1368" s="165"/>
      <c r="H1368" s="144"/>
      <c r="I1368" s="126"/>
    </row>
    <row r="1369" spans="3:9" ht="15.95" customHeight="1" x14ac:dyDescent="0.25">
      <c r="C1369" s="122"/>
      <c r="D1369" s="117" t="s">
        <v>586</v>
      </c>
      <c r="E1369" s="118"/>
      <c r="F1369" s="123" t="s">
        <v>158</v>
      </c>
      <c r="G1369" s="124">
        <v>0.4</v>
      </c>
      <c r="H1369" s="144">
        <f t="shared" ref="H1369:H1379" si="35">VLOOKUP(D1369,Bahan,6,FALSE)</f>
        <v>4500000</v>
      </c>
      <c r="I1369" s="126">
        <f t="shared" ref="I1369:I1379" si="36">G1369*H1369</f>
        <v>1800000</v>
      </c>
    </row>
    <row r="1370" spans="3:9" ht="15.95" customHeight="1" x14ac:dyDescent="0.25">
      <c r="C1370" s="122"/>
      <c r="D1370" s="117" t="s">
        <v>613</v>
      </c>
      <c r="E1370" s="118"/>
      <c r="F1370" s="123" t="s">
        <v>133</v>
      </c>
      <c r="G1370" s="124">
        <v>4</v>
      </c>
      <c r="H1370" s="144">
        <f t="shared" si="35"/>
        <v>27970</v>
      </c>
      <c r="I1370" s="126">
        <f t="shared" si="36"/>
        <v>111880</v>
      </c>
    </row>
    <row r="1371" spans="3:9" ht="15.95" customHeight="1" x14ac:dyDescent="0.25">
      <c r="C1371" s="122"/>
      <c r="D1371" s="117" t="s">
        <v>588</v>
      </c>
      <c r="E1371" s="118"/>
      <c r="F1371" s="123" t="s">
        <v>385</v>
      </c>
      <c r="G1371" s="124">
        <v>2</v>
      </c>
      <c r="H1371" s="144">
        <f t="shared" si="35"/>
        <v>7310</v>
      </c>
      <c r="I1371" s="126">
        <f t="shared" si="36"/>
        <v>14620</v>
      </c>
    </row>
    <row r="1372" spans="3:9" ht="15.95" customHeight="1" x14ac:dyDescent="0.25">
      <c r="C1372" s="122"/>
      <c r="D1372" s="117" t="s">
        <v>524</v>
      </c>
      <c r="E1372" s="118"/>
      <c r="F1372" s="123" t="s">
        <v>133</v>
      </c>
      <c r="G1372" s="124">
        <v>315</v>
      </c>
      <c r="H1372" s="144">
        <f t="shared" si="35"/>
        <v>12920</v>
      </c>
      <c r="I1372" s="126">
        <f t="shared" si="36"/>
        <v>4069800</v>
      </c>
    </row>
    <row r="1373" spans="3:9" ht="15.95" customHeight="1" x14ac:dyDescent="0.25">
      <c r="C1373" s="122"/>
      <c r="D1373" s="117" t="s">
        <v>525</v>
      </c>
      <c r="E1373" s="118"/>
      <c r="F1373" s="123" t="s">
        <v>133</v>
      </c>
      <c r="G1373" s="124">
        <v>4.5</v>
      </c>
      <c r="H1373" s="144">
        <f t="shared" si="35"/>
        <v>27260</v>
      </c>
      <c r="I1373" s="126">
        <f t="shared" si="36"/>
        <v>122670</v>
      </c>
    </row>
    <row r="1374" spans="3:9" ht="15.95" customHeight="1" x14ac:dyDescent="0.25">
      <c r="C1374" s="122"/>
      <c r="D1374" s="117" t="s">
        <v>380</v>
      </c>
      <c r="E1374" s="118"/>
      <c r="F1374" s="123" t="s">
        <v>133</v>
      </c>
      <c r="G1374" s="124">
        <v>336</v>
      </c>
      <c r="H1374" s="144">
        <f t="shared" si="35"/>
        <v>1880</v>
      </c>
      <c r="I1374" s="126">
        <f t="shared" si="36"/>
        <v>631680</v>
      </c>
    </row>
    <row r="1375" spans="3:9" ht="15.95" customHeight="1" x14ac:dyDescent="0.25">
      <c r="C1375" s="122"/>
      <c r="D1375" s="117" t="s">
        <v>1924</v>
      </c>
      <c r="E1375" s="118"/>
      <c r="F1375" s="123" t="s">
        <v>158</v>
      </c>
      <c r="G1375" s="124">
        <v>0.54</v>
      </c>
      <c r="H1375" s="144">
        <f t="shared" si="35"/>
        <v>350000</v>
      </c>
      <c r="I1375" s="126">
        <f t="shared" si="36"/>
        <v>189000</v>
      </c>
    </row>
    <row r="1376" spans="3:9" ht="15.95" customHeight="1" x14ac:dyDescent="0.25">
      <c r="C1376" s="122"/>
      <c r="D1376" s="117" t="s">
        <v>1922</v>
      </c>
      <c r="E1376" s="118"/>
      <c r="F1376" s="123" t="s">
        <v>158</v>
      </c>
      <c r="G1376" s="124">
        <v>0.81</v>
      </c>
      <c r="H1376" s="144">
        <f t="shared" si="35"/>
        <v>600000</v>
      </c>
      <c r="I1376" s="126">
        <f t="shared" si="36"/>
        <v>486000.00000000006</v>
      </c>
    </row>
    <row r="1377" spans="2:10" ht="15.95" customHeight="1" x14ac:dyDescent="0.25">
      <c r="C1377" s="122"/>
      <c r="D1377" s="117" t="s">
        <v>618</v>
      </c>
      <c r="E1377" s="118"/>
      <c r="F1377" s="123" t="s">
        <v>489</v>
      </c>
      <c r="G1377" s="124">
        <v>0.15</v>
      </c>
      <c r="H1377" s="144">
        <f t="shared" si="35"/>
        <v>5500000</v>
      </c>
      <c r="I1377" s="126">
        <f t="shared" si="36"/>
        <v>825000</v>
      </c>
    </row>
    <row r="1378" spans="2:10" ht="15.95" customHeight="1" x14ac:dyDescent="0.25">
      <c r="C1378" s="122"/>
      <c r="D1378" s="117" t="s">
        <v>595</v>
      </c>
      <c r="E1378" s="118"/>
      <c r="F1378" s="123" t="s">
        <v>399</v>
      </c>
      <c r="G1378" s="124">
        <v>3.5</v>
      </c>
      <c r="H1378" s="144">
        <f t="shared" si="35"/>
        <v>135000</v>
      </c>
      <c r="I1378" s="126">
        <f t="shared" si="36"/>
        <v>472500</v>
      </c>
    </row>
    <row r="1379" spans="2:10" ht="15.95" customHeight="1" thickBot="1" x14ac:dyDescent="0.3">
      <c r="C1379" s="122"/>
      <c r="D1379" s="117" t="s">
        <v>378</v>
      </c>
      <c r="E1379" s="118"/>
      <c r="F1379" s="123" t="s">
        <v>379</v>
      </c>
      <c r="G1379" s="165">
        <v>20</v>
      </c>
      <c r="H1379" s="144">
        <f t="shared" si="35"/>
        <v>31250</v>
      </c>
      <c r="I1379" s="126">
        <f t="shared" si="36"/>
        <v>625000</v>
      </c>
    </row>
    <row r="1380" spans="2:10" ht="15.95" customHeight="1" thickBot="1" x14ac:dyDescent="0.3">
      <c r="C1380" s="132"/>
      <c r="D1380" s="133"/>
      <c r="E1380" s="134"/>
      <c r="F1380" s="134"/>
      <c r="G1380" s="135" t="s">
        <v>386</v>
      </c>
      <c r="H1380" s="136"/>
      <c r="I1380" s="137">
        <f>SUM(I1369:I1379)</f>
        <v>9348150</v>
      </c>
    </row>
    <row r="1381" spans="2:10" ht="15.95" customHeight="1" thickBot="1" x14ac:dyDescent="0.3">
      <c r="C1381" s="116" t="s">
        <v>387</v>
      </c>
      <c r="D1381" s="117" t="s">
        <v>388</v>
      </c>
      <c r="E1381" s="118"/>
      <c r="F1381" s="118"/>
      <c r="G1381" s="165"/>
      <c r="H1381" s="144">
        <f>IF(AND(D1381&lt;&gt;"",F1381&lt;&gt;""),IF(C1381="",IF(F1381="OH",VLOOKUP(D1381,[1]UPAH!$B$3:$G$32,7,0),VLOOKUP(D1381,[1]BAHAN!$A$2:$D$3,4,0)),0),0)</f>
        <v>0</v>
      </c>
      <c r="I1381" s="126">
        <f>G1381*H1381</f>
        <v>0</v>
      </c>
    </row>
    <row r="1382" spans="2:10" ht="15.95" customHeight="1" thickBot="1" x14ac:dyDescent="0.3">
      <c r="C1382" s="132"/>
      <c r="D1382" s="133"/>
      <c r="E1382" s="134"/>
      <c r="F1382" s="134"/>
      <c r="G1382" s="135" t="s">
        <v>389</v>
      </c>
      <c r="H1382" s="136"/>
      <c r="I1382" s="137">
        <f>I1381</f>
        <v>0</v>
      </c>
    </row>
    <row r="1383" spans="2:10" ht="15.95" customHeight="1" x14ac:dyDescent="0.25">
      <c r="C1383" s="158" t="s">
        <v>390</v>
      </c>
      <c r="D1383" s="159" t="s">
        <v>391</v>
      </c>
      <c r="E1383" s="160"/>
      <c r="F1383" s="160"/>
      <c r="G1383" s="161"/>
      <c r="H1383" s="162">
        <f>IF(AND(D1383&lt;&gt;"",F1383&lt;&gt;""),IF(C1383="",IF(F1383="OH",VLOOKUP(D1383,[1]UPAH!$B$3:$G$32,7,0),VLOOKUP(D1383,[1]BAHAN!$A$2:$D$3,4,0)),0),0)</f>
        <v>0</v>
      </c>
      <c r="I1383" s="126">
        <f>SUM(I1360:I1382)/2</f>
        <v>10959655</v>
      </c>
    </row>
    <row r="1384" spans="2:10" ht="15.95" customHeight="1" thickBot="1" x14ac:dyDescent="0.3">
      <c r="C1384" s="147" t="s">
        <v>392</v>
      </c>
      <c r="D1384" s="148" t="s">
        <v>393</v>
      </c>
      <c r="E1384" s="149"/>
      <c r="F1384" s="149"/>
      <c r="G1384" s="164">
        <v>0.1</v>
      </c>
      <c r="H1384" s="151"/>
      <c r="I1384" s="146">
        <f>G1384*I1383</f>
        <v>1095965.5</v>
      </c>
    </row>
    <row r="1385" spans="2:10" ht="15.95" customHeight="1" thickBot="1" x14ac:dyDescent="0.3">
      <c r="C1385" s="111" t="s">
        <v>394</v>
      </c>
      <c r="D1385" s="112" t="s">
        <v>395</v>
      </c>
      <c r="E1385" s="134"/>
      <c r="F1385" s="134"/>
      <c r="G1385" s="156"/>
      <c r="H1385" s="136">
        <f>IF(AND(D1385&lt;&gt;"",F1385&lt;&gt;""),IF(C1385="",IF(F1385="OH",VLOOKUP(D1385,[1]UPAH!$B$3:$G$32,7,0),VLOOKUP(D1385,[1]BAHAN!$A$2:$D$3,4,0)),0),0)</f>
        <v>0</v>
      </c>
      <c r="I1385" s="137">
        <f>ROUNDDOWN(I1383+I1384,0)</f>
        <v>12055620</v>
      </c>
    </row>
    <row r="1386" spans="2:10" ht="15.95" customHeight="1" x14ac:dyDescent="0.25">
      <c r="C1386" s="109"/>
      <c r="D1386" s="109"/>
      <c r="G1386" s="157"/>
      <c r="H1386" s="166"/>
      <c r="I1386" s="110"/>
    </row>
    <row r="1387" spans="2:10" ht="15.95" customHeight="1" thickBot="1" x14ac:dyDescent="0.3">
      <c r="B1387" s="247" t="s">
        <v>619</v>
      </c>
      <c r="C1387" s="104" t="s">
        <v>620</v>
      </c>
      <c r="G1387" s="157"/>
      <c r="J1387" s="110">
        <f>I1414</f>
        <v>9561601</v>
      </c>
    </row>
    <row r="1388" spans="2:10" ht="15.95" customHeight="1" thickBot="1" x14ac:dyDescent="0.3">
      <c r="C1388" s="111" t="s">
        <v>328</v>
      </c>
      <c r="D1388" s="112" t="s">
        <v>359</v>
      </c>
      <c r="E1388" s="113" t="s">
        <v>360</v>
      </c>
      <c r="F1388" s="113" t="s">
        <v>330</v>
      </c>
      <c r="G1388" s="114" t="s">
        <v>361</v>
      </c>
      <c r="H1388" s="112" t="s">
        <v>362</v>
      </c>
      <c r="I1388" s="115" t="s">
        <v>363</v>
      </c>
    </row>
    <row r="1389" spans="2:10" ht="15.95" customHeight="1" x14ac:dyDescent="0.25">
      <c r="C1389" s="116" t="s">
        <v>364</v>
      </c>
      <c r="D1389" s="117" t="s">
        <v>365</v>
      </c>
      <c r="E1389" s="118"/>
      <c r="F1389" s="118"/>
      <c r="G1389" s="165"/>
      <c r="H1389" s="144"/>
      <c r="I1389" s="126"/>
    </row>
    <row r="1390" spans="2:10" ht="15.95" customHeight="1" x14ac:dyDescent="0.25">
      <c r="C1390" s="122"/>
      <c r="D1390" s="117" t="s">
        <v>366</v>
      </c>
      <c r="E1390" s="123" t="s">
        <v>367</v>
      </c>
      <c r="F1390" s="123" t="s">
        <v>368</v>
      </c>
      <c r="G1390" s="124">
        <v>6.35</v>
      </c>
      <c r="H1390" s="125">
        <f t="shared" ref="H1390:H1395" si="37">VLOOKUP(D1390,Upah,8,FALSE)</f>
        <v>125000</v>
      </c>
      <c r="I1390" s="126">
        <f t="shared" ref="I1390:I1395" si="38">G1390*H1390</f>
        <v>793750</v>
      </c>
    </row>
    <row r="1391" spans="2:10" ht="15.95" customHeight="1" x14ac:dyDescent="0.25">
      <c r="C1391" s="122"/>
      <c r="D1391" s="117" t="s">
        <v>413</v>
      </c>
      <c r="E1391" s="123" t="s">
        <v>414</v>
      </c>
      <c r="F1391" s="123" t="s">
        <v>368</v>
      </c>
      <c r="G1391" s="124">
        <v>0.27500000000000002</v>
      </c>
      <c r="H1391" s="125">
        <f t="shared" si="37"/>
        <v>150000</v>
      </c>
      <c r="I1391" s="126">
        <f t="shared" si="38"/>
        <v>41250</v>
      </c>
    </row>
    <row r="1392" spans="2:10" ht="15.95" customHeight="1" x14ac:dyDescent="0.25">
      <c r="C1392" s="122"/>
      <c r="D1392" s="117" t="s">
        <v>611</v>
      </c>
      <c r="E1392" s="123" t="s">
        <v>370</v>
      </c>
      <c r="F1392" s="123" t="s">
        <v>368</v>
      </c>
      <c r="G1392" s="124">
        <v>1.65</v>
      </c>
      <c r="H1392" s="125">
        <f t="shared" si="37"/>
        <v>150000</v>
      </c>
      <c r="I1392" s="126">
        <f t="shared" si="38"/>
        <v>247500</v>
      </c>
    </row>
    <row r="1393" spans="3:9" ht="15.95" customHeight="1" x14ac:dyDescent="0.25">
      <c r="C1393" s="122"/>
      <c r="D1393" s="117" t="s">
        <v>612</v>
      </c>
      <c r="E1393" s="123" t="s">
        <v>578</v>
      </c>
      <c r="F1393" s="123" t="s">
        <v>368</v>
      </c>
      <c r="G1393" s="124">
        <v>1.4</v>
      </c>
      <c r="H1393" s="125">
        <f t="shared" si="37"/>
        <v>150000</v>
      </c>
      <c r="I1393" s="126">
        <f t="shared" si="38"/>
        <v>210000</v>
      </c>
    </row>
    <row r="1394" spans="3:9" ht="15.95" customHeight="1" x14ac:dyDescent="0.25">
      <c r="C1394" s="122"/>
      <c r="D1394" s="117" t="s">
        <v>429</v>
      </c>
      <c r="E1394" s="123" t="s">
        <v>372</v>
      </c>
      <c r="F1394" s="123" t="s">
        <v>368</v>
      </c>
      <c r="G1394" s="124">
        <v>0.33300000000000002</v>
      </c>
      <c r="H1394" s="125">
        <f t="shared" si="37"/>
        <v>165000</v>
      </c>
      <c r="I1394" s="126">
        <f t="shared" si="38"/>
        <v>54945</v>
      </c>
    </row>
    <row r="1395" spans="3:9" ht="15.95" customHeight="1" thickBot="1" x14ac:dyDescent="0.3">
      <c r="C1395" s="122"/>
      <c r="D1395" s="117" t="s">
        <v>373</v>
      </c>
      <c r="E1395" s="123" t="s">
        <v>374</v>
      </c>
      <c r="F1395" s="123" t="s">
        <v>368</v>
      </c>
      <c r="G1395" s="124">
        <v>0.318</v>
      </c>
      <c r="H1395" s="125">
        <f t="shared" si="37"/>
        <v>170000</v>
      </c>
      <c r="I1395" s="126">
        <f t="shared" si="38"/>
        <v>54060</v>
      </c>
    </row>
    <row r="1396" spans="3:9" ht="15.95" customHeight="1" thickBot="1" x14ac:dyDescent="0.3">
      <c r="C1396" s="132"/>
      <c r="D1396" s="133"/>
      <c r="E1396" s="134"/>
      <c r="F1396" s="134"/>
      <c r="G1396" s="135" t="s">
        <v>375</v>
      </c>
      <c r="H1396" s="136"/>
      <c r="I1396" s="137">
        <f>SUM(I1390:I1395)</f>
        <v>1401505</v>
      </c>
    </row>
    <row r="1397" spans="3:9" ht="15.95" customHeight="1" x14ac:dyDescent="0.25">
      <c r="C1397" s="116" t="s">
        <v>376</v>
      </c>
      <c r="D1397" s="117" t="s">
        <v>377</v>
      </c>
      <c r="E1397" s="118"/>
      <c r="F1397" s="118"/>
      <c r="G1397" s="165"/>
      <c r="H1397" s="144"/>
      <c r="I1397" s="126"/>
    </row>
    <row r="1398" spans="3:9" ht="15.95" customHeight="1" x14ac:dyDescent="0.25">
      <c r="C1398" s="122"/>
      <c r="D1398" s="117" t="s">
        <v>586</v>
      </c>
      <c r="E1398" s="118"/>
      <c r="F1398" s="123" t="s">
        <v>158</v>
      </c>
      <c r="G1398" s="124">
        <v>0.32</v>
      </c>
      <c r="H1398" s="144">
        <f t="shared" ref="H1398:H1408" si="39">VLOOKUP(D1398,Bahan,6,FALSE)</f>
        <v>4500000</v>
      </c>
      <c r="I1398" s="126">
        <f t="shared" ref="I1398:I1408" si="40">G1398*H1398</f>
        <v>1440000</v>
      </c>
    </row>
    <row r="1399" spans="3:9" ht="15.95" customHeight="1" x14ac:dyDescent="0.25">
      <c r="C1399" s="122"/>
      <c r="D1399" s="117" t="s">
        <v>613</v>
      </c>
      <c r="E1399" s="118"/>
      <c r="F1399" s="123" t="s">
        <v>133</v>
      </c>
      <c r="G1399" s="124">
        <v>3.2</v>
      </c>
      <c r="H1399" s="144">
        <f t="shared" si="39"/>
        <v>27970</v>
      </c>
      <c r="I1399" s="126">
        <f t="shared" si="40"/>
        <v>89504</v>
      </c>
    </row>
    <row r="1400" spans="3:9" ht="15.95" customHeight="1" x14ac:dyDescent="0.25">
      <c r="C1400" s="122"/>
      <c r="D1400" s="117" t="s">
        <v>588</v>
      </c>
      <c r="E1400" s="118"/>
      <c r="F1400" s="123" t="s">
        <v>385</v>
      </c>
      <c r="G1400" s="124">
        <v>1.6</v>
      </c>
      <c r="H1400" s="144">
        <f t="shared" si="39"/>
        <v>7310</v>
      </c>
      <c r="I1400" s="126">
        <f t="shared" si="40"/>
        <v>11696</v>
      </c>
    </row>
    <row r="1401" spans="3:9" ht="15.95" customHeight="1" x14ac:dyDescent="0.25">
      <c r="C1401" s="122"/>
      <c r="D1401" s="117" t="s">
        <v>524</v>
      </c>
      <c r="E1401" s="118"/>
      <c r="F1401" s="123" t="s">
        <v>133</v>
      </c>
      <c r="G1401" s="124">
        <v>210</v>
      </c>
      <c r="H1401" s="144">
        <f t="shared" si="39"/>
        <v>12920</v>
      </c>
      <c r="I1401" s="126">
        <f t="shared" si="40"/>
        <v>2713200</v>
      </c>
    </row>
    <row r="1402" spans="3:9" ht="15.95" customHeight="1" x14ac:dyDescent="0.25">
      <c r="C1402" s="122"/>
      <c r="D1402" s="117" t="s">
        <v>525</v>
      </c>
      <c r="E1402" s="118"/>
      <c r="F1402" s="123" t="s">
        <v>133</v>
      </c>
      <c r="G1402" s="124">
        <v>3</v>
      </c>
      <c r="H1402" s="144">
        <f t="shared" si="39"/>
        <v>27260</v>
      </c>
      <c r="I1402" s="126">
        <f t="shared" si="40"/>
        <v>81780</v>
      </c>
    </row>
    <row r="1403" spans="3:9" ht="15.95" customHeight="1" x14ac:dyDescent="0.25">
      <c r="C1403" s="122"/>
      <c r="D1403" s="117" t="s">
        <v>380</v>
      </c>
      <c r="E1403" s="118"/>
      <c r="F1403" s="123" t="s">
        <v>133</v>
      </c>
      <c r="G1403" s="124">
        <v>336</v>
      </c>
      <c r="H1403" s="144">
        <f t="shared" si="39"/>
        <v>1880</v>
      </c>
      <c r="I1403" s="126">
        <f t="shared" si="40"/>
        <v>631680</v>
      </c>
    </row>
    <row r="1404" spans="3:9" ht="15.95" customHeight="1" x14ac:dyDescent="0.25">
      <c r="C1404" s="122"/>
      <c r="D1404" s="117" t="s">
        <v>1924</v>
      </c>
      <c r="E1404" s="118"/>
      <c r="F1404" s="123" t="s">
        <v>158</v>
      </c>
      <c r="G1404" s="124">
        <v>0.54</v>
      </c>
      <c r="H1404" s="144">
        <f t="shared" si="39"/>
        <v>350000</v>
      </c>
      <c r="I1404" s="126">
        <f t="shared" si="40"/>
        <v>189000</v>
      </c>
    </row>
    <row r="1405" spans="3:9" ht="15.95" customHeight="1" x14ac:dyDescent="0.25">
      <c r="C1405" s="122"/>
      <c r="D1405" s="117" t="s">
        <v>1922</v>
      </c>
      <c r="E1405" s="118"/>
      <c r="F1405" s="123" t="s">
        <v>158</v>
      </c>
      <c r="G1405" s="124">
        <v>0.81</v>
      </c>
      <c r="H1405" s="144">
        <f t="shared" si="39"/>
        <v>600000</v>
      </c>
      <c r="I1405" s="126">
        <f t="shared" si="40"/>
        <v>486000.00000000006</v>
      </c>
    </row>
    <row r="1406" spans="3:9" ht="15.95" customHeight="1" x14ac:dyDescent="0.25">
      <c r="C1406" s="122"/>
      <c r="D1406" s="117" t="s">
        <v>618</v>
      </c>
      <c r="E1406" s="118"/>
      <c r="F1406" s="123" t="s">
        <v>158</v>
      </c>
      <c r="G1406" s="124">
        <v>0.14000000000000001</v>
      </c>
      <c r="H1406" s="144">
        <f t="shared" si="39"/>
        <v>5500000</v>
      </c>
      <c r="I1406" s="126">
        <f t="shared" si="40"/>
        <v>770000.00000000012</v>
      </c>
    </row>
    <row r="1407" spans="3:9" ht="15.95" customHeight="1" x14ac:dyDescent="0.25">
      <c r="C1407" s="122"/>
      <c r="D1407" s="117" t="s">
        <v>595</v>
      </c>
      <c r="E1407" s="118"/>
      <c r="F1407" s="123" t="s">
        <v>621</v>
      </c>
      <c r="G1407" s="124">
        <v>2.8</v>
      </c>
      <c r="H1407" s="144">
        <f t="shared" si="39"/>
        <v>135000</v>
      </c>
      <c r="I1407" s="126">
        <f t="shared" si="40"/>
        <v>378000</v>
      </c>
    </row>
    <row r="1408" spans="3:9" ht="15.95" customHeight="1" thickBot="1" x14ac:dyDescent="0.3">
      <c r="C1408" s="122"/>
      <c r="D1408" s="117" t="s">
        <v>378</v>
      </c>
      <c r="E1408" s="118"/>
      <c r="F1408" s="123" t="s">
        <v>379</v>
      </c>
      <c r="G1408" s="124">
        <v>16</v>
      </c>
      <c r="H1408" s="144">
        <f t="shared" si="39"/>
        <v>31250</v>
      </c>
      <c r="I1408" s="126">
        <f t="shared" si="40"/>
        <v>500000</v>
      </c>
    </row>
    <row r="1409" spans="2:10" ht="15.95" customHeight="1" thickBot="1" x14ac:dyDescent="0.3">
      <c r="C1409" s="132"/>
      <c r="D1409" s="133"/>
      <c r="E1409" s="134"/>
      <c r="F1409" s="134"/>
      <c r="G1409" s="135" t="s">
        <v>386</v>
      </c>
      <c r="H1409" s="136"/>
      <c r="I1409" s="137">
        <f>SUM(I1398:I1408)</f>
        <v>7290860</v>
      </c>
    </row>
    <row r="1410" spans="2:10" ht="15.95" customHeight="1" thickBot="1" x14ac:dyDescent="0.3">
      <c r="C1410" s="116" t="s">
        <v>387</v>
      </c>
      <c r="D1410" s="117" t="s">
        <v>388</v>
      </c>
      <c r="E1410" s="118"/>
      <c r="F1410" s="118"/>
      <c r="G1410" s="165"/>
      <c r="H1410" s="144">
        <f>IF(AND(D1410&lt;&gt;"",F1410&lt;&gt;""),IF(C1410="",IF(F1410="OH",VLOOKUP(D1410,[1]UPAH!$B$3:$G$32,7,0),VLOOKUP(D1410,[1]BAHAN!$A$2:$D$3,4,0)),0),0)</f>
        <v>0</v>
      </c>
      <c r="I1410" s="126">
        <f>G1410*H1410</f>
        <v>0</v>
      </c>
    </row>
    <row r="1411" spans="2:10" ht="15.95" customHeight="1" thickBot="1" x14ac:dyDescent="0.3">
      <c r="C1411" s="132"/>
      <c r="D1411" s="133"/>
      <c r="E1411" s="134"/>
      <c r="F1411" s="134"/>
      <c r="G1411" s="135" t="s">
        <v>389</v>
      </c>
      <c r="H1411" s="136"/>
      <c r="I1411" s="137">
        <f>I1410</f>
        <v>0</v>
      </c>
    </row>
    <row r="1412" spans="2:10" ht="15.95" customHeight="1" x14ac:dyDescent="0.25">
      <c r="C1412" s="158" t="s">
        <v>390</v>
      </c>
      <c r="D1412" s="159" t="s">
        <v>391</v>
      </c>
      <c r="E1412" s="160"/>
      <c r="F1412" s="160"/>
      <c r="G1412" s="161"/>
      <c r="H1412" s="162">
        <f>IF(AND(D1412&lt;&gt;"",F1412&lt;&gt;""),IF(C1412="",IF(F1412="OH",VLOOKUP(D1412,[1]UPAH!$B$3:$G$32,7,0),VLOOKUP(D1412,[1]BAHAN!$A$2:$D$3,4,0)),0),0)</f>
        <v>0</v>
      </c>
      <c r="I1412" s="126">
        <f>SUM(I1389:I1411)/2</f>
        <v>8692365</v>
      </c>
    </row>
    <row r="1413" spans="2:10" ht="15.95" customHeight="1" thickBot="1" x14ac:dyDescent="0.3">
      <c r="C1413" s="147" t="s">
        <v>392</v>
      </c>
      <c r="D1413" s="148" t="s">
        <v>393</v>
      </c>
      <c r="E1413" s="149"/>
      <c r="F1413" s="149"/>
      <c r="G1413" s="164">
        <v>0.1</v>
      </c>
      <c r="H1413" s="151"/>
      <c r="I1413" s="146">
        <f>G1413*I1412</f>
        <v>869236.5</v>
      </c>
    </row>
    <row r="1414" spans="2:10" ht="15.95" customHeight="1" thickBot="1" x14ac:dyDescent="0.3">
      <c r="C1414" s="111" t="s">
        <v>394</v>
      </c>
      <c r="D1414" s="112" t="s">
        <v>395</v>
      </c>
      <c r="E1414" s="134"/>
      <c r="F1414" s="134"/>
      <c r="G1414" s="156"/>
      <c r="H1414" s="136">
        <f>IF(AND(D1414&lt;&gt;"",F1414&lt;&gt;""),IF(C1414="",IF(F1414="OH",VLOOKUP(D1414,[1]UPAH!$B$3:$G$32,7,0),VLOOKUP(D1414,[1]BAHAN!$A$2:$D$3,4,0)),0),0)</f>
        <v>0</v>
      </c>
      <c r="I1414" s="137">
        <f>ROUNDDOWN(I1412+I1413,0)</f>
        <v>9561601</v>
      </c>
    </row>
    <row r="1415" spans="2:10" ht="15.95" customHeight="1" x14ac:dyDescent="0.25">
      <c r="C1415" s="109"/>
      <c r="D1415" s="109"/>
      <c r="G1415" s="157"/>
      <c r="H1415" s="166"/>
      <c r="I1415" s="110"/>
    </row>
    <row r="1416" spans="2:10" ht="15.95" customHeight="1" thickBot="1" x14ac:dyDescent="0.3">
      <c r="B1416" s="247" t="s">
        <v>622</v>
      </c>
      <c r="C1416" s="104" t="s">
        <v>623</v>
      </c>
      <c r="G1416" s="157"/>
      <c r="J1416" s="110">
        <f>I1443</f>
        <v>8939854</v>
      </c>
    </row>
    <row r="1417" spans="2:10" ht="15.95" customHeight="1" thickBot="1" x14ac:dyDescent="0.3">
      <c r="C1417" s="111" t="s">
        <v>328</v>
      </c>
      <c r="D1417" s="112" t="s">
        <v>359</v>
      </c>
      <c r="E1417" s="113" t="s">
        <v>360</v>
      </c>
      <c r="F1417" s="113" t="s">
        <v>330</v>
      </c>
      <c r="G1417" s="114" t="s">
        <v>361</v>
      </c>
      <c r="H1417" s="112" t="s">
        <v>362</v>
      </c>
      <c r="I1417" s="115" t="s">
        <v>363</v>
      </c>
    </row>
    <row r="1418" spans="2:10" ht="15.95" customHeight="1" x14ac:dyDescent="0.25">
      <c r="C1418" s="116" t="s">
        <v>364</v>
      </c>
      <c r="D1418" s="117" t="s">
        <v>365</v>
      </c>
      <c r="E1418" s="118"/>
      <c r="F1418" s="118"/>
      <c r="G1418" s="165"/>
      <c r="H1418" s="144"/>
      <c r="I1418" s="126"/>
    </row>
    <row r="1419" spans="2:10" ht="15.95" customHeight="1" x14ac:dyDescent="0.25">
      <c r="C1419" s="122"/>
      <c r="D1419" s="117" t="s">
        <v>366</v>
      </c>
      <c r="E1419" s="123" t="s">
        <v>367</v>
      </c>
      <c r="F1419" s="123" t="s">
        <v>368</v>
      </c>
      <c r="G1419" s="124">
        <v>5.3</v>
      </c>
      <c r="H1419" s="125">
        <f t="shared" ref="H1419:H1424" si="41">VLOOKUP(D1419,Upah,8,FALSE)</f>
        <v>125000</v>
      </c>
      <c r="I1419" s="126">
        <f t="shared" ref="I1419:I1424" si="42">G1419*H1419</f>
        <v>662500</v>
      </c>
    </row>
    <row r="1420" spans="2:10" ht="15.95" customHeight="1" x14ac:dyDescent="0.25">
      <c r="C1420" s="122"/>
      <c r="D1420" s="117" t="s">
        <v>413</v>
      </c>
      <c r="E1420" s="123" t="s">
        <v>414</v>
      </c>
      <c r="F1420" s="123" t="s">
        <v>368</v>
      </c>
      <c r="G1420" s="124">
        <v>0.27500000000000002</v>
      </c>
      <c r="H1420" s="125">
        <f t="shared" si="41"/>
        <v>150000</v>
      </c>
      <c r="I1420" s="126">
        <f t="shared" si="42"/>
        <v>41250</v>
      </c>
    </row>
    <row r="1421" spans="2:10" ht="15.95" customHeight="1" x14ac:dyDescent="0.25">
      <c r="C1421" s="122"/>
      <c r="D1421" s="117" t="s">
        <v>611</v>
      </c>
      <c r="E1421" s="123" t="s">
        <v>370</v>
      </c>
      <c r="F1421" s="123" t="s">
        <v>368</v>
      </c>
      <c r="G1421" s="124">
        <v>1.3</v>
      </c>
      <c r="H1421" s="125">
        <f t="shared" si="41"/>
        <v>150000</v>
      </c>
      <c r="I1421" s="126">
        <f t="shared" si="42"/>
        <v>195000</v>
      </c>
    </row>
    <row r="1422" spans="2:10" ht="15.95" customHeight="1" x14ac:dyDescent="0.25">
      <c r="C1422" s="122"/>
      <c r="D1422" s="117" t="s">
        <v>612</v>
      </c>
      <c r="E1422" s="123" t="s">
        <v>578</v>
      </c>
      <c r="F1422" s="123" t="s">
        <v>368</v>
      </c>
      <c r="G1422" s="124">
        <v>1.05</v>
      </c>
      <c r="H1422" s="125">
        <f t="shared" si="41"/>
        <v>150000</v>
      </c>
      <c r="I1422" s="126">
        <f t="shared" si="42"/>
        <v>157500</v>
      </c>
    </row>
    <row r="1423" spans="2:10" ht="15.95" customHeight="1" x14ac:dyDescent="0.25">
      <c r="C1423" s="122"/>
      <c r="D1423" s="117" t="s">
        <v>429</v>
      </c>
      <c r="E1423" s="123" t="s">
        <v>372</v>
      </c>
      <c r="F1423" s="123" t="s">
        <v>368</v>
      </c>
      <c r="G1423" s="124">
        <v>0.26500000000000001</v>
      </c>
      <c r="H1423" s="125">
        <f t="shared" si="41"/>
        <v>165000</v>
      </c>
      <c r="I1423" s="126">
        <f t="shared" si="42"/>
        <v>43725</v>
      </c>
    </row>
    <row r="1424" spans="2:10" ht="15.95" customHeight="1" thickBot="1" x14ac:dyDescent="0.3">
      <c r="C1424" s="122"/>
      <c r="D1424" s="117" t="s">
        <v>373</v>
      </c>
      <c r="E1424" s="123" t="s">
        <v>374</v>
      </c>
      <c r="F1424" s="123" t="s">
        <v>368</v>
      </c>
      <c r="G1424" s="124">
        <v>0.26500000000000001</v>
      </c>
      <c r="H1424" s="125">
        <f t="shared" si="41"/>
        <v>170000</v>
      </c>
      <c r="I1424" s="126">
        <f t="shared" si="42"/>
        <v>45050</v>
      </c>
    </row>
    <row r="1425" spans="3:9" ht="15.95" customHeight="1" thickBot="1" x14ac:dyDescent="0.3">
      <c r="C1425" s="132"/>
      <c r="D1425" s="133"/>
      <c r="E1425" s="134"/>
      <c r="F1425" s="134"/>
      <c r="G1425" s="135" t="s">
        <v>375</v>
      </c>
      <c r="H1425" s="136"/>
      <c r="I1425" s="137">
        <f>SUM(I1419:I1424)</f>
        <v>1145025</v>
      </c>
    </row>
    <row r="1426" spans="3:9" ht="15.95" customHeight="1" x14ac:dyDescent="0.25">
      <c r="C1426" s="116" t="s">
        <v>376</v>
      </c>
      <c r="D1426" s="117" t="s">
        <v>377</v>
      </c>
      <c r="E1426" s="118"/>
      <c r="F1426" s="118"/>
      <c r="G1426" s="165"/>
      <c r="H1426" s="144"/>
      <c r="I1426" s="126"/>
    </row>
    <row r="1427" spans="3:9" ht="15.95" customHeight="1" x14ac:dyDescent="0.25">
      <c r="C1427" s="122"/>
      <c r="D1427" s="117" t="s">
        <v>586</v>
      </c>
      <c r="E1427" s="118"/>
      <c r="F1427" s="123" t="s">
        <v>158</v>
      </c>
      <c r="G1427" s="124">
        <v>0.32</v>
      </c>
      <c r="H1427" s="144">
        <f t="shared" ref="H1427:H1437" si="43">VLOOKUP(D1427,Bahan,6,FALSE)</f>
        <v>4500000</v>
      </c>
      <c r="I1427" s="126">
        <f t="shared" ref="I1427:I1437" si="44">G1427*H1427</f>
        <v>1440000</v>
      </c>
    </row>
    <row r="1428" spans="3:9" ht="15.95" customHeight="1" x14ac:dyDescent="0.25">
      <c r="C1428" s="122"/>
      <c r="D1428" s="117" t="s">
        <v>613</v>
      </c>
      <c r="E1428" s="118"/>
      <c r="F1428" s="123" t="s">
        <v>133</v>
      </c>
      <c r="G1428" s="124">
        <v>3.2</v>
      </c>
      <c r="H1428" s="144">
        <f t="shared" si="43"/>
        <v>27970</v>
      </c>
      <c r="I1428" s="126">
        <f t="shared" si="44"/>
        <v>89504</v>
      </c>
    </row>
    <row r="1429" spans="3:9" ht="15.95" customHeight="1" x14ac:dyDescent="0.25">
      <c r="C1429" s="122"/>
      <c r="D1429" s="117" t="s">
        <v>588</v>
      </c>
      <c r="E1429" s="118"/>
      <c r="F1429" s="123" t="s">
        <v>385</v>
      </c>
      <c r="G1429" s="124">
        <v>1.6</v>
      </c>
      <c r="H1429" s="144">
        <f t="shared" si="43"/>
        <v>7310</v>
      </c>
      <c r="I1429" s="126">
        <f t="shared" si="44"/>
        <v>11696</v>
      </c>
    </row>
    <row r="1430" spans="3:9" ht="15.95" customHeight="1" x14ac:dyDescent="0.25">
      <c r="C1430" s="122"/>
      <c r="D1430" s="117" t="s">
        <v>524</v>
      </c>
      <c r="E1430" s="118"/>
      <c r="F1430" s="123" t="s">
        <v>133</v>
      </c>
      <c r="G1430" s="124">
        <v>157.5</v>
      </c>
      <c r="H1430" s="144">
        <f t="shared" si="43"/>
        <v>12920</v>
      </c>
      <c r="I1430" s="126">
        <f t="shared" si="44"/>
        <v>2034900</v>
      </c>
    </row>
    <row r="1431" spans="3:9" ht="15.95" customHeight="1" x14ac:dyDescent="0.25">
      <c r="C1431" s="122"/>
      <c r="D1431" s="117" t="s">
        <v>525</v>
      </c>
      <c r="E1431" s="118"/>
      <c r="F1431" s="123" t="s">
        <v>133</v>
      </c>
      <c r="G1431" s="124">
        <v>2.25</v>
      </c>
      <c r="H1431" s="144">
        <f t="shared" si="43"/>
        <v>27260</v>
      </c>
      <c r="I1431" s="126">
        <f t="shared" si="44"/>
        <v>61335</v>
      </c>
    </row>
    <row r="1432" spans="3:9" ht="15.95" customHeight="1" x14ac:dyDescent="0.25">
      <c r="C1432" s="122"/>
      <c r="D1432" s="117" t="s">
        <v>380</v>
      </c>
      <c r="E1432" s="118"/>
      <c r="F1432" s="123" t="s">
        <v>133</v>
      </c>
      <c r="G1432" s="124">
        <v>336</v>
      </c>
      <c r="H1432" s="144">
        <f t="shared" si="43"/>
        <v>1880</v>
      </c>
      <c r="I1432" s="126">
        <f t="shared" si="44"/>
        <v>631680</v>
      </c>
    </row>
    <row r="1433" spans="3:9" ht="15.95" customHeight="1" x14ac:dyDescent="0.25">
      <c r="C1433" s="122"/>
      <c r="D1433" s="117" t="s">
        <v>1924</v>
      </c>
      <c r="E1433" s="118"/>
      <c r="F1433" s="123" t="s">
        <v>158</v>
      </c>
      <c r="G1433" s="124">
        <v>0.54</v>
      </c>
      <c r="H1433" s="144">
        <f t="shared" si="43"/>
        <v>350000</v>
      </c>
      <c r="I1433" s="126">
        <f t="shared" si="44"/>
        <v>189000</v>
      </c>
    </row>
    <row r="1434" spans="3:9" ht="15.95" customHeight="1" x14ac:dyDescent="0.25">
      <c r="C1434" s="122"/>
      <c r="D1434" s="117" t="s">
        <v>1922</v>
      </c>
      <c r="E1434" s="118"/>
      <c r="F1434" s="123" t="s">
        <v>158</v>
      </c>
      <c r="G1434" s="124">
        <v>0.81</v>
      </c>
      <c r="H1434" s="144">
        <f t="shared" si="43"/>
        <v>600000</v>
      </c>
      <c r="I1434" s="126">
        <f t="shared" si="44"/>
        <v>486000.00000000006</v>
      </c>
    </row>
    <row r="1435" spans="3:9" ht="15.95" customHeight="1" x14ac:dyDescent="0.25">
      <c r="C1435" s="122"/>
      <c r="D1435" s="117" t="s">
        <v>618</v>
      </c>
      <c r="E1435" s="118"/>
      <c r="F1435" s="123" t="s">
        <v>158</v>
      </c>
      <c r="G1435" s="124">
        <v>0.12</v>
      </c>
      <c r="H1435" s="144">
        <f t="shared" si="43"/>
        <v>5500000</v>
      </c>
      <c r="I1435" s="126">
        <f t="shared" si="44"/>
        <v>660000</v>
      </c>
    </row>
    <row r="1436" spans="3:9" ht="15.95" customHeight="1" x14ac:dyDescent="0.25">
      <c r="C1436" s="122"/>
      <c r="D1436" s="117" t="s">
        <v>595</v>
      </c>
      <c r="E1436" s="118"/>
      <c r="F1436" s="123" t="s">
        <v>621</v>
      </c>
      <c r="G1436" s="124">
        <v>2.8</v>
      </c>
      <c r="H1436" s="144">
        <f t="shared" si="43"/>
        <v>135000</v>
      </c>
      <c r="I1436" s="126">
        <f t="shared" si="44"/>
        <v>378000</v>
      </c>
    </row>
    <row r="1437" spans="3:9" ht="15.95" customHeight="1" thickBot="1" x14ac:dyDescent="0.3">
      <c r="C1437" s="122"/>
      <c r="D1437" s="117" t="s">
        <v>378</v>
      </c>
      <c r="E1437" s="118"/>
      <c r="F1437" s="123" t="s">
        <v>379</v>
      </c>
      <c r="G1437" s="124">
        <v>32</v>
      </c>
      <c r="H1437" s="144">
        <f t="shared" si="43"/>
        <v>31250</v>
      </c>
      <c r="I1437" s="126">
        <f t="shared" si="44"/>
        <v>1000000</v>
      </c>
    </row>
    <row r="1438" spans="3:9" ht="15.95" customHeight="1" thickBot="1" x14ac:dyDescent="0.3">
      <c r="C1438" s="132"/>
      <c r="D1438" s="133"/>
      <c r="E1438" s="134"/>
      <c r="F1438" s="134"/>
      <c r="G1438" s="135" t="s">
        <v>386</v>
      </c>
      <c r="H1438" s="136"/>
      <c r="I1438" s="137">
        <f>SUM(I1427:I1437)</f>
        <v>6982115</v>
      </c>
    </row>
    <row r="1439" spans="3:9" ht="15.95" customHeight="1" thickBot="1" x14ac:dyDescent="0.3">
      <c r="C1439" s="116" t="s">
        <v>387</v>
      </c>
      <c r="D1439" s="117" t="s">
        <v>388</v>
      </c>
      <c r="E1439" s="118"/>
      <c r="F1439" s="118"/>
      <c r="G1439" s="165"/>
      <c r="H1439" s="144">
        <f>IF(AND(D1439&lt;&gt;"",F1439&lt;&gt;""),IF(C1439="",IF(F1439="OH",VLOOKUP(D1439,[1]UPAH!$B$3:$G$32,7,0),VLOOKUP(D1439,[1]BAHAN!$A$2:$D$3,4,0)),0),0)</f>
        <v>0</v>
      </c>
      <c r="I1439" s="126">
        <f>G1439*H1439</f>
        <v>0</v>
      </c>
    </row>
    <row r="1440" spans="3:9" ht="15.95" customHeight="1" thickBot="1" x14ac:dyDescent="0.3">
      <c r="C1440" s="132"/>
      <c r="D1440" s="133"/>
      <c r="E1440" s="134"/>
      <c r="F1440" s="134"/>
      <c r="G1440" s="135" t="s">
        <v>389</v>
      </c>
      <c r="H1440" s="136"/>
      <c r="I1440" s="137">
        <f>I1439</f>
        <v>0</v>
      </c>
    </row>
    <row r="1441" spans="2:10" ht="15.95" customHeight="1" x14ac:dyDescent="0.25">
      <c r="C1441" s="158" t="s">
        <v>390</v>
      </c>
      <c r="D1441" s="159" t="s">
        <v>391</v>
      </c>
      <c r="E1441" s="160"/>
      <c r="F1441" s="160"/>
      <c r="G1441" s="161"/>
      <c r="H1441" s="162">
        <f>IF(AND(D1441&lt;&gt;"",F1441&lt;&gt;""),IF(C1441="",IF(F1441="OH",VLOOKUP(D1441,[1]UPAH!$B$3:$G$32,7,0),VLOOKUP(D1441,[1]BAHAN!$A$2:$D$3,4,0)),0),0)</f>
        <v>0</v>
      </c>
      <c r="I1441" s="126">
        <f>SUM(I1417:I1440)/2</f>
        <v>8127140</v>
      </c>
    </row>
    <row r="1442" spans="2:10" ht="15.95" customHeight="1" thickBot="1" x14ac:dyDescent="0.3">
      <c r="C1442" s="147" t="s">
        <v>392</v>
      </c>
      <c r="D1442" s="148" t="s">
        <v>393</v>
      </c>
      <c r="E1442" s="149"/>
      <c r="F1442" s="149"/>
      <c r="G1442" s="164">
        <v>0.1</v>
      </c>
      <c r="H1442" s="151"/>
      <c r="I1442" s="146">
        <f>G1442*I1441</f>
        <v>812714</v>
      </c>
    </row>
    <row r="1443" spans="2:10" ht="15.95" customHeight="1" thickBot="1" x14ac:dyDescent="0.3">
      <c r="C1443" s="111" t="s">
        <v>394</v>
      </c>
      <c r="D1443" s="112" t="s">
        <v>395</v>
      </c>
      <c r="E1443" s="134"/>
      <c r="F1443" s="134"/>
      <c r="G1443" s="156"/>
      <c r="H1443" s="136">
        <f>IF(AND(D1443&lt;&gt;"",F1443&lt;&gt;""),IF(C1443="",IF(F1443="OH",VLOOKUP(D1443,[1]UPAH!$B$3:$G$32,7,0),VLOOKUP(D1443,[1]BAHAN!$A$2:$D$3,4,0)),0),0)</f>
        <v>0</v>
      </c>
      <c r="I1443" s="137">
        <f>ROUNDDOWN(I1441+I1442,0)</f>
        <v>8939854</v>
      </c>
    </row>
    <row r="1444" spans="2:10" ht="15.95" customHeight="1" x14ac:dyDescent="0.25">
      <c r="C1444" s="109"/>
      <c r="D1444" s="109"/>
      <c r="G1444" s="157"/>
      <c r="H1444" s="166"/>
      <c r="I1444" s="110"/>
    </row>
    <row r="1445" spans="2:10" ht="15.95" customHeight="1" thickBot="1" x14ac:dyDescent="0.3">
      <c r="B1445" s="247" t="s">
        <v>624</v>
      </c>
      <c r="C1445" s="104" t="s">
        <v>625</v>
      </c>
      <c r="G1445" s="157"/>
      <c r="J1445" s="110">
        <f>I1472</f>
        <v>7854434</v>
      </c>
    </row>
    <row r="1446" spans="2:10" ht="15.95" customHeight="1" thickBot="1" x14ac:dyDescent="0.3">
      <c r="C1446" s="111" t="s">
        <v>328</v>
      </c>
      <c r="D1446" s="112" t="s">
        <v>359</v>
      </c>
      <c r="E1446" s="113" t="s">
        <v>360</v>
      </c>
      <c r="F1446" s="113" t="s">
        <v>330</v>
      </c>
      <c r="G1446" s="114" t="s">
        <v>361</v>
      </c>
      <c r="H1446" s="112" t="s">
        <v>362</v>
      </c>
      <c r="I1446" s="115" t="s">
        <v>363</v>
      </c>
    </row>
    <row r="1447" spans="2:10" ht="15.95" customHeight="1" x14ac:dyDescent="0.25">
      <c r="C1447" s="116" t="s">
        <v>364</v>
      </c>
      <c r="D1447" s="117" t="s">
        <v>365</v>
      </c>
      <c r="E1447" s="118"/>
      <c r="F1447" s="118"/>
      <c r="G1447" s="165"/>
      <c r="H1447" s="144"/>
      <c r="I1447" s="126"/>
    </row>
    <row r="1448" spans="2:10" ht="15.95" customHeight="1" x14ac:dyDescent="0.25">
      <c r="C1448" s="122"/>
      <c r="D1448" s="117" t="s">
        <v>366</v>
      </c>
      <c r="E1448" s="123" t="s">
        <v>367</v>
      </c>
      <c r="F1448" s="123" t="s">
        <v>368</v>
      </c>
      <c r="G1448" s="124">
        <v>0.53</v>
      </c>
      <c r="H1448" s="125">
        <f t="shared" ref="H1448:H1453" si="45">VLOOKUP(D1448,Upah,8,FALSE)</f>
        <v>125000</v>
      </c>
      <c r="I1448" s="126">
        <f t="shared" ref="I1448:I1453" si="46">G1448*H1448</f>
        <v>66250</v>
      </c>
    </row>
    <row r="1449" spans="2:10" ht="15.95" customHeight="1" x14ac:dyDescent="0.25">
      <c r="C1449" s="122"/>
      <c r="D1449" s="117" t="s">
        <v>413</v>
      </c>
      <c r="E1449" s="123" t="s">
        <v>414</v>
      </c>
      <c r="F1449" s="123" t="s">
        <v>368</v>
      </c>
      <c r="G1449" s="124">
        <v>0.27500000000000002</v>
      </c>
      <c r="H1449" s="125">
        <f t="shared" si="45"/>
        <v>150000</v>
      </c>
      <c r="I1449" s="126">
        <f t="shared" si="46"/>
        <v>41250</v>
      </c>
    </row>
    <row r="1450" spans="2:10" ht="15.95" customHeight="1" x14ac:dyDescent="0.25">
      <c r="C1450" s="122"/>
      <c r="D1450" s="117" t="s">
        <v>611</v>
      </c>
      <c r="E1450" s="123" t="s">
        <v>370</v>
      </c>
      <c r="F1450" s="123" t="s">
        <v>368</v>
      </c>
      <c r="G1450" s="124">
        <v>1.3</v>
      </c>
      <c r="H1450" s="125">
        <f t="shared" si="45"/>
        <v>150000</v>
      </c>
      <c r="I1450" s="126">
        <f t="shared" si="46"/>
        <v>195000</v>
      </c>
    </row>
    <row r="1451" spans="2:10" ht="15.95" customHeight="1" x14ac:dyDescent="0.25">
      <c r="C1451" s="122"/>
      <c r="D1451" s="117" t="s">
        <v>612</v>
      </c>
      <c r="E1451" s="123" t="s">
        <v>578</v>
      </c>
      <c r="F1451" s="123" t="s">
        <v>368</v>
      </c>
      <c r="G1451" s="124">
        <v>1.05</v>
      </c>
      <c r="H1451" s="125">
        <f t="shared" si="45"/>
        <v>150000</v>
      </c>
      <c r="I1451" s="126">
        <f t="shared" si="46"/>
        <v>157500</v>
      </c>
    </row>
    <row r="1452" spans="2:10" ht="15.95" customHeight="1" x14ac:dyDescent="0.25">
      <c r="C1452" s="122"/>
      <c r="D1452" s="117" t="s">
        <v>429</v>
      </c>
      <c r="E1452" s="123" t="s">
        <v>372</v>
      </c>
      <c r="F1452" s="123" t="s">
        <v>368</v>
      </c>
      <c r="G1452" s="124">
        <v>0.26200000000000001</v>
      </c>
      <c r="H1452" s="125">
        <f t="shared" si="45"/>
        <v>165000</v>
      </c>
      <c r="I1452" s="126">
        <f t="shared" si="46"/>
        <v>43230</v>
      </c>
    </row>
    <row r="1453" spans="2:10" ht="15.95" customHeight="1" thickBot="1" x14ac:dyDescent="0.3">
      <c r="C1453" s="122"/>
      <c r="D1453" s="117" t="s">
        <v>373</v>
      </c>
      <c r="E1453" s="123" t="s">
        <v>374</v>
      </c>
      <c r="F1453" s="123" t="s">
        <v>368</v>
      </c>
      <c r="G1453" s="124">
        <v>0.26500000000000001</v>
      </c>
      <c r="H1453" s="125">
        <f t="shared" si="45"/>
        <v>170000</v>
      </c>
      <c r="I1453" s="126">
        <f t="shared" si="46"/>
        <v>45050</v>
      </c>
    </row>
    <row r="1454" spans="2:10" ht="15.95" customHeight="1" thickBot="1" x14ac:dyDescent="0.3">
      <c r="C1454" s="132"/>
      <c r="D1454" s="133"/>
      <c r="E1454" s="134"/>
      <c r="F1454" s="134"/>
      <c r="G1454" s="135" t="s">
        <v>375</v>
      </c>
      <c r="H1454" s="136"/>
      <c r="I1454" s="137">
        <f>SUM(I1448:I1453)</f>
        <v>548280</v>
      </c>
    </row>
    <row r="1455" spans="2:10" ht="15.95" customHeight="1" x14ac:dyDescent="0.25">
      <c r="C1455" s="116" t="s">
        <v>376</v>
      </c>
      <c r="D1455" s="117" t="s">
        <v>377</v>
      </c>
      <c r="E1455" s="118"/>
      <c r="F1455" s="118"/>
      <c r="G1455" s="165"/>
      <c r="H1455" s="144"/>
      <c r="I1455" s="126"/>
    </row>
    <row r="1456" spans="2:10" ht="15.95" customHeight="1" x14ac:dyDescent="0.25">
      <c r="C1456" s="122"/>
      <c r="D1456" s="117" t="s">
        <v>586</v>
      </c>
      <c r="E1456" s="118"/>
      <c r="F1456" s="123" t="s">
        <v>158</v>
      </c>
      <c r="G1456" s="124">
        <v>0.24</v>
      </c>
      <c r="H1456" s="144">
        <f t="shared" ref="H1456:H1466" si="47">VLOOKUP(D1456,Bahan,6,FALSE)</f>
        <v>4500000</v>
      </c>
      <c r="I1456" s="126">
        <f t="shared" ref="I1456:I1466" si="48">G1456*H1456</f>
        <v>1080000</v>
      </c>
    </row>
    <row r="1457" spans="3:9" ht="15.95" customHeight="1" x14ac:dyDescent="0.25">
      <c r="C1457" s="122"/>
      <c r="D1457" s="117" t="s">
        <v>613</v>
      </c>
      <c r="E1457" s="118"/>
      <c r="F1457" s="123" t="s">
        <v>133</v>
      </c>
      <c r="G1457" s="124">
        <v>3.2</v>
      </c>
      <c r="H1457" s="144">
        <f t="shared" si="47"/>
        <v>27970</v>
      </c>
      <c r="I1457" s="126">
        <f t="shared" si="48"/>
        <v>89504</v>
      </c>
    </row>
    <row r="1458" spans="3:9" ht="15.95" customHeight="1" x14ac:dyDescent="0.25">
      <c r="C1458" s="122"/>
      <c r="D1458" s="117" t="s">
        <v>588</v>
      </c>
      <c r="E1458" s="118"/>
      <c r="F1458" s="123" t="s">
        <v>385</v>
      </c>
      <c r="G1458" s="124">
        <v>1.6</v>
      </c>
      <c r="H1458" s="144">
        <f t="shared" si="47"/>
        <v>7310</v>
      </c>
      <c r="I1458" s="126">
        <f t="shared" si="48"/>
        <v>11696</v>
      </c>
    </row>
    <row r="1459" spans="3:9" ht="15.95" customHeight="1" x14ac:dyDescent="0.25">
      <c r="C1459" s="122"/>
      <c r="D1459" s="117" t="s">
        <v>524</v>
      </c>
      <c r="E1459" s="118"/>
      <c r="F1459" s="123" t="s">
        <v>133</v>
      </c>
      <c r="G1459" s="124">
        <v>157.5</v>
      </c>
      <c r="H1459" s="144">
        <f t="shared" si="47"/>
        <v>12920</v>
      </c>
      <c r="I1459" s="126">
        <f t="shared" si="48"/>
        <v>2034900</v>
      </c>
    </row>
    <row r="1460" spans="3:9" ht="15.95" customHeight="1" x14ac:dyDescent="0.25">
      <c r="C1460" s="122"/>
      <c r="D1460" s="117" t="s">
        <v>525</v>
      </c>
      <c r="E1460" s="118"/>
      <c r="F1460" s="123" t="s">
        <v>133</v>
      </c>
      <c r="G1460" s="124">
        <v>2.25</v>
      </c>
      <c r="H1460" s="144">
        <f t="shared" si="47"/>
        <v>27260</v>
      </c>
      <c r="I1460" s="126">
        <f t="shared" si="48"/>
        <v>61335</v>
      </c>
    </row>
    <row r="1461" spans="3:9" ht="15.95" customHeight="1" x14ac:dyDescent="0.25">
      <c r="C1461" s="122"/>
      <c r="D1461" s="117" t="s">
        <v>380</v>
      </c>
      <c r="E1461" s="118"/>
      <c r="F1461" s="123" t="s">
        <v>133</v>
      </c>
      <c r="G1461" s="124">
        <v>336</v>
      </c>
      <c r="H1461" s="144">
        <f t="shared" si="47"/>
        <v>1880</v>
      </c>
      <c r="I1461" s="126">
        <f t="shared" si="48"/>
        <v>631680</v>
      </c>
    </row>
    <row r="1462" spans="3:9" ht="15.95" customHeight="1" x14ac:dyDescent="0.25">
      <c r="C1462" s="122"/>
      <c r="D1462" s="117" t="s">
        <v>1924</v>
      </c>
      <c r="E1462" s="118"/>
      <c r="F1462" s="123" t="s">
        <v>158</v>
      </c>
      <c r="G1462" s="124">
        <v>0.54</v>
      </c>
      <c r="H1462" s="144">
        <f t="shared" si="47"/>
        <v>350000</v>
      </c>
      <c r="I1462" s="126">
        <f t="shared" si="48"/>
        <v>189000</v>
      </c>
    </row>
    <row r="1463" spans="3:9" ht="15.95" customHeight="1" x14ac:dyDescent="0.25">
      <c r="C1463" s="122"/>
      <c r="D1463" s="117" t="s">
        <v>1922</v>
      </c>
      <c r="E1463" s="118"/>
      <c r="F1463" s="123" t="s">
        <v>158</v>
      </c>
      <c r="G1463" s="124">
        <v>0.81</v>
      </c>
      <c r="H1463" s="144">
        <f t="shared" si="47"/>
        <v>600000</v>
      </c>
      <c r="I1463" s="126">
        <f t="shared" si="48"/>
        <v>486000.00000000006</v>
      </c>
    </row>
    <row r="1464" spans="3:9" ht="15.95" customHeight="1" x14ac:dyDescent="0.25">
      <c r="C1464" s="122"/>
      <c r="D1464" s="117" t="s">
        <v>618</v>
      </c>
      <c r="E1464" s="118"/>
      <c r="F1464" s="123" t="s">
        <v>158</v>
      </c>
      <c r="G1464" s="124">
        <v>0.16</v>
      </c>
      <c r="H1464" s="144">
        <f t="shared" si="47"/>
        <v>5500000</v>
      </c>
      <c r="I1464" s="126">
        <f t="shared" si="48"/>
        <v>880000</v>
      </c>
    </row>
    <row r="1465" spans="3:9" ht="15.95" customHeight="1" x14ac:dyDescent="0.25">
      <c r="C1465" s="122"/>
      <c r="D1465" s="117" t="s">
        <v>595</v>
      </c>
      <c r="E1465" s="118"/>
      <c r="F1465" s="123" t="s">
        <v>621</v>
      </c>
      <c r="G1465" s="124">
        <v>2.8</v>
      </c>
      <c r="H1465" s="144">
        <f t="shared" si="47"/>
        <v>135000</v>
      </c>
      <c r="I1465" s="126">
        <f t="shared" si="48"/>
        <v>378000</v>
      </c>
    </row>
    <row r="1466" spans="3:9" ht="15.95" customHeight="1" thickBot="1" x14ac:dyDescent="0.3">
      <c r="C1466" s="122"/>
      <c r="D1466" s="117" t="s">
        <v>378</v>
      </c>
      <c r="E1466" s="118"/>
      <c r="F1466" s="123" t="s">
        <v>379</v>
      </c>
      <c r="G1466" s="124">
        <v>24</v>
      </c>
      <c r="H1466" s="144">
        <f t="shared" si="47"/>
        <v>31250</v>
      </c>
      <c r="I1466" s="126">
        <f t="shared" si="48"/>
        <v>750000</v>
      </c>
    </row>
    <row r="1467" spans="3:9" ht="15.95" customHeight="1" thickBot="1" x14ac:dyDescent="0.3">
      <c r="C1467" s="132"/>
      <c r="D1467" s="133"/>
      <c r="E1467" s="134"/>
      <c r="F1467" s="134"/>
      <c r="G1467" s="135" t="s">
        <v>386</v>
      </c>
      <c r="H1467" s="136"/>
      <c r="I1467" s="137">
        <f>SUM(I1456:I1466)</f>
        <v>6592115</v>
      </c>
    </row>
    <row r="1468" spans="3:9" ht="15.95" customHeight="1" thickBot="1" x14ac:dyDescent="0.3">
      <c r="C1468" s="116" t="s">
        <v>387</v>
      </c>
      <c r="D1468" s="117" t="s">
        <v>388</v>
      </c>
      <c r="E1468" s="118"/>
      <c r="F1468" s="118"/>
      <c r="G1468" s="165"/>
      <c r="H1468" s="144">
        <f>IF(AND(D1468&lt;&gt;"",F1468&lt;&gt;""),IF(C1468="",IF(F1468="OH",VLOOKUP(D1468,[1]UPAH!$B$3:$G$32,7,0),VLOOKUP(D1468,[1]BAHAN!$A$2:$D$3,4,0)),0),0)</f>
        <v>0</v>
      </c>
      <c r="I1468" s="126">
        <f>G1468*H1468</f>
        <v>0</v>
      </c>
    </row>
    <row r="1469" spans="3:9" ht="15.95" customHeight="1" thickBot="1" x14ac:dyDescent="0.3">
      <c r="C1469" s="132"/>
      <c r="D1469" s="133"/>
      <c r="E1469" s="134"/>
      <c r="F1469" s="134"/>
      <c r="G1469" s="135" t="s">
        <v>389</v>
      </c>
      <c r="H1469" s="136"/>
      <c r="I1469" s="137">
        <f>I1468</f>
        <v>0</v>
      </c>
    </row>
    <row r="1470" spans="3:9" ht="15.95" customHeight="1" x14ac:dyDescent="0.25">
      <c r="C1470" s="158" t="s">
        <v>390</v>
      </c>
      <c r="D1470" s="159" t="s">
        <v>391</v>
      </c>
      <c r="E1470" s="160"/>
      <c r="F1470" s="160"/>
      <c r="G1470" s="161"/>
      <c r="H1470" s="162">
        <f>IF(AND(D1470&lt;&gt;"",F1470&lt;&gt;""),IF(C1470="",IF(F1470="OH",VLOOKUP(D1470,[1]UPAH!$B$3:$G$32,7,0),VLOOKUP(D1470,[1]BAHAN!$A$2:$D$3,4,0)),0),0)</f>
        <v>0</v>
      </c>
      <c r="I1470" s="126">
        <f>SUM(I1448:I1469)/2</f>
        <v>7140395</v>
      </c>
    </row>
    <row r="1471" spans="3:9" ht="15.95" customHeight="1" thickBot="1" x14ac:dyDescent="0.3">
      <c r="C1471" s="147" t="s">
        <v>392</v>
      </c>
      <c r="D1471" s="148" t="s">
        <v>393</v>
      </c>
      <c r="E1471" s="149"/>
      <c r="F1471" s="149"/>
      <c r="G1471" s="164">
        <v>0.1</v>
      </c>
      <c r="H1471" s="151"/>
      <c r="I1471" s="146">
        <f>G1471*I1470</f>
        <v>714039.5</v>
      </c>
    </row>
    <row r="1472" spans="3:9" ht="15.95" customHeight="1" thickBot="1" x14ac:dyDescent="0.3">
      <c r="C1472" s="111" t="s">
        <v>394</v>
      </c>
      <c r="D1472" s="112" t="s">
        <v>395</v>
      </c>
      <c r="E1472" s="134"/>
      <c r="F1472" s="134"/>
      <c r="G1472" s="156"/>
      <c r="H1472" s="136">
        <f>IF(AND(D1472&lt;&gt;"",F1472&lt;&gt;""),IF(C1472="",IF(F1472="OH",VLOOKUP(D1472,[1]UPAH!$B$3:$G$32,7,0),VLOOKUP(D1472,[1]BAHAN!$A$2:$D$3,4,0)),0),0)</f>
        <v>0</v>
      </c>
      <c r="I1472" s="137">
        <f>ROUNDDOWN(I1470+I1471,0)</f>
        <v>7854434</v>
      </c>
    </row>
    <row r="1473" spans="2:10" ht="15.95" customHeight="1" x14ac:dyDescent="0.25">
      <c r="C1473" s="109"/>
      <c r="D1473" s="109"/>
      <c r="G1473" s="157"/>
    </row>
    <row r="1474" spans="2:10" ht="15.95" customHeight="1" thickBot="1" x14ac:dyDescent="0.3">
      <c r="B1474" s="109" t="s">
        <v>626</v>
      </c>
      <c r="C1474" s="104" t="s">
        <v>627</v>
      </c>
      <c r="G1474" s="157"/>
      <c r="J1474" s="110">
        <f>I1501</f>
        <v>8761221</v>
      </c>
    </row>
    <row r="1475" spans="2:10" ht="15.95" customHeight="1" thickBot="1" x14ac:dyDescent="0.3">
      <c r="C1475" s="111" t="s">
        <v>328</v>
      </c>
      <c r="D1475" s="112" t="s">
        <v>359</v>
      </c>
      <c r="E1475" s="113" t="s">
        <v>360</v>
      </c>
      <c r="F1475" s="113" t="s">
        <v>330</v>
      </c>
      <c r="G1475" s="114" t="s">
        <v>361</v>
      </c>
      <c r="H1475" s="112" t="s">
        <v>362</v>
      </c>
      <c r="I1475" s="115" t="s">
        <v>363</v>
      </c>
    </row>
    <row r="1476" spans="2:10" ht="15.95" customHeight="1" x14ac:dyDescent="0.25">
      <c r="C1476" s="116" t="s">
        <v>364</v>
      </c>
      <c r="D1476" s="117" t="s">
        <v>365</v>
      </c>
      <c r="E1476" s="118"/>
      <c r="F1476" s="118"/>
      <c r="G1476" s="165"/>
      <c r="H1476" s="144"/>
      <c r="I1476" s="126"/>
    </row>
    <row r="1477" spans="2:10" ht="15.95" customHeight="1" x14ac:dyDescent="0.25">
      <c r="C1477" s="122"/>
      <c r="D1477" s="117" t="s">
        <v>366</v>
      </c>
      <c r="E1477" s="123" t="s">
        <v>367</v>
      </c>
      <c r="F1477" s="123" t="s">
        <v>368</v>
      </c>
      <c r="G1477" s="124">
        <v>5.65</v>
      </c>
      <c r="H1477" s="125">
        <f t="shared" ref="H1477:H1482" si="49">VLOOKUP(D1477,Upah,8,FALSE)</f>
        <v>125000</v>
      </c>
      <c r="I1477" s="126">
        <f t="shared" ref="I1477:I1482" si="50">G1477*H1477</f>
        <v>706250</v>
      </c>
    </row>
    <row r="1478" spans="2:10" ht="15.95" customHeight="1" x14ac:dyDescent="0.25">
      <c r="C1478" s="122"/>
      <c r="D1478" s="117" t="s">
        <v>413</v>
      </c>
      <c r="E1478" s="123" t="s">
        <v>414</v>
      </c>
      <c r="F1478" s="123" t="s">
        <v>368</v>
      </c>
      <c r="G1478" s="124">
        <v>0.27500000000000002</v>
      </c>
      <c r="H1478" s="125">
        <f t="shared" si="49"/>
        <v>150000</v>
      </c>
      <c r="I1478" s="126">
        <f t="shared" si="50"/>
        <v>41250</v>
      </c>
    </row>
    <row r="1479" spans="2:10" ht="15.95" customHeight="1" x14ac:dyDescent="0.25">
      <c r="C1479" s="122"/>
      <c r="D1479" s="117" t="s">
        <v>611</v>
      </c>
      <c r="E1479" s="123" t="s">
        <v>370</v>
      </c>
      <c r="F1479" s="123" t="s">
        <v>368</v>
      </c>
      <c r="G1479" s="124">
        <v>1.56</v>
      </c>
      <c r="H1479" s="125">
        <f t="shared" si="49"/>
        <v>150000</v>
      </c>
      <c r="I1479" s="126">
        <f t="shared" si="50"/>
        <v>234000</v>
      </c>
    </row>
    <row r="1480" spans="2:10" ht="15.95" customHeight="1" x14ac:dyDescent="0.25">
      <c r="C1480" s="122"/>
      <c r="D1480" s="117" t="s">
        <v>612</v>
      </c>
      <c r="E1480" s="123" t="s">
        <v>578</v>
      </c>
      <c r="F1480" s="123" t="s">
        <v>368</v>
      </c>
      <c r="G1480" s="124">
        <v>1.4</v>
      </c>
      <c r="H1480" s="125">
        <f t="shared" si="49"/>
        <v>150000</v>
      </c>
      <c r="I1480" s="126">
        <f t="shared" si="50"/>
        <v>210000</v>
      </c>
    </row>
    <row r="1481" spans="2:10" ht="15.95" customHeight="1" x14ac:dyDescent="0.25">
      <c r="C1481" s="122"/>
      <c r="D1481" s="117" t="s">
        <v>429</v>
      </c>
      <c r="E1481" s="123" t="s">
        <v>372</v>
      </c>
      <c r="F1481" s="123" t="s">
        <v>368</v>
      </c>
      <c r="G1481" s="124">
        <v>0.32300000000000001</v>
      </c>
      <c r="H1481" s="125">
        <f t="shared" si="49"/>
        <v>165000</v>
      </c>
      <c r="I1481" s="126">
        <f t="shared" si="50"/>
        <v>53295</v>
      </c>
    </row>
    <row r="1482" spans="2:10" ht="15.95" customHeight="1" thickBot="1" x14ac:dyDescent="0.3">
      <c r="C1482" s="122"/>
      <c r="D1482" s="117" t="s">
        <v>373</v>
      </c>
      <c r="E1482" s="123" t="s">
        <v>374</v>
      </c>
      <c r="F1482" s="123" t="s">
        <v>368</v>
      </c>
      <c r="G1482" s="124">
        <v>0.28299999999999997</v>
      </c>
      <c r="H1482" s="125">
        <f t="shared" si="49"/>
        <v>170000</v>
      </c>
      <c r="I1482" s="126">
        <f t="shared" si="50"/>
        <v>48109.999999999993</v>
      </c>
    </row>
    <row r="1483" spans="2:10" ht="15.95" customHeight="1" thickBot="1" x14ac:dyDescent="0.3">
      <c r="C1483" s="132"/>
      <c r="D1483" s="133"/>
      <c r="E1483" s="134"/>
      <c r="F1483" s="134"/>
      <c r="G1483" s="135" t="s">
        <v>375</v>
      </c>
      <c r="H1483" s="136"/>
      <c r="I1483" s="137">
        <f>SUM(I1477:I1482)</f>
        <v>1292905</v>
      </c>
    </row>
    <row r="1484" spans="2:10" ht="15.95" customHeight="1" x14ac:dyDescent="0.25">
      <c r="C1484" s="116" t="s">
        <v>376</v>
      </c>
      <c r="D1484" s="117" t="s">
        <v>377</v>
      </c>
      <c r="E1484" s="118"/>
      <c r="F1484" s="118"/>
      <c r="G1484" s="165"/>
      <c r="H1484" s="144"/>
      <c r="I1484" s="126"/>
    </row>
    <row r="1485" spans="2:10" ht="15.95" customHeight="1" x14ac:dyDescent="0.25">
      <c r="C1485" s="122"/>
      <c r="D1485" s="117" t="s">
        <v>586</v>
      </c>
      <c r="E1485" s="118"/>
      <c r="F1485" s="123" t="s">
        <v>158</v>
      </c>
      <c r="G1485" s="124">
        <v>0.25</v>
      </c>
      <c r="H1485" s="144">
        <f t="shared" ref="H1485:H1495" si="51">VLOOKUP(D1485,Bahan,6,FALSE)</f>
        <v>4500000</v>
      </c>
      <c r="I1485" s="126">
        <f t="shared" ref="I1485:I1495" si="52">G1485*H1485</f>
        <v>1125000</v>
      </c>
    </row>
    <row r="1486" spans="2:10" ht="15.95" customHeight="1" x14ac:dyDescent="0.25">
      <c r="C1486" s="122"/>
      <c r="D1486" s="117" t="s">
        <v>613</v>
      </c>
      <c r="E1486" s="118"/>
      <c r="F1486" s="123" t="s">
        <v>133</v>
      </c>
      <c r="G1486" s="124">
        <v>3</v>
      </c>
      <c r="H1486" s="144">
        <f t="shared" si="51"/>
        <v>27970</v>
      </c>
      <c r="I1486" s="126">
        <f t="shared" si="52"/>
        <v>83910</v>
      </c>
    </row>
    <row r="1487" spans="2:10" ht="15.95" customHeight="1" x14ac:dyDescent="0.25">
      <c r="C1487" s="122"/>
      <c r="D1487" s="117" t="s">
        <v>588</v>
      </c>
      <c r="E1487" s="118"/>
      <c r="F1487" s="123" t="s">
        <v>385</v>
      </c>
      <c r="G1487" s="124">
        <v>1.2</v>
      </c>
      <c r="H1487" s="144">
        <f t="shared" si="51"/>
        <v>7310</v>
      </c>
      <c r="I1487" s="126">
        <f t="shared" si="52"/>
        <v>8772</v>
      </c>
    </row>
    <row r="1488" spans="2:10" ht="15.95" customHeight="1" x14ac:dyDescent="0.25">
      <c r="C1488" s="122"/>
      <c r="D1488" s="117" t="s">
        <v>524</v>
      </c>
      <c r="E1488" s="118"/>
      <c r="F1488" s="123" t="s">
        <v>133</v>
      </c>
      <c r="G1488" s="124">
        <v>210</v>
      </c>
      <c r="H1488" s="144">
        <f t="shared" si="51"/>
        <v>12920</v>
      </c>
      <c r="I1488" s="126">
        <f t="shared" si="52"/>
        <v>2713200</v>
      </c>
    </row>
    <row r="1489" spans="2:10" ht="15.95" customHeight="1" x14ac:dyDescent="0.25">
      <c r="C1489" s="122"/>
      <c r="D1489" s="117" t="s">
        <v>525</v>
      </c>
      <c r="E1489" s="118"/>
      <c r="F1489" s="123" t="s">
        <v>133</v>
      </c>
      <c r="G1489" s="124">
        <v>3</v>
      </c>
      <c r="H1489" s="144">
        <f t="shared" si="51"/>
        <v>27260</v>
      </c>
      <c r="I1489" s="126">
        <f t="shared" si="52"/>
        <v>81780</v>
      </c>
    </row>
    <row r="1490" spans="2:10" ht="15.95" customHeight="1" x14ac:dyDescent="0.25">
      <c r="C1490" s="122"/>
      <c r="D1490" s="117" t="s">
        <v>380</v>
      </c>
      <c r="E1490" s="118"/>
      <c r="F1490" s="123" t="s">
        <v>133</v>
      </c>
      <c r="G1490" s="124">
        <v>336</v>
      </c>
      <c r="H1490" s="144">
        <f t="shared" si="51"/>
        <v>1880</v>
      </c>
      <c r="I1490" s="126">
        <f t="shared" si="52"/>
        <v>631680</v>
      </c>
    </row>
    <row r="1491" spans="2:10" ht="15.95" customHeight="1" x14ac:dyDescent="0.25">
      <c r="C1491" s="122"/>
      <c r="D1491" s="117" t="s">
        <v>1924</v>
      </c>
      <c r="E1491" s="118"/>
      <c r="F1491" s="123" t="s">
        <v>158</v>
      </c>
      <c r="G1491" s="124">
        <v>0.54</v>
      </c>
      <c r="H1491" s="144">
        <f t="shared" si="51"/>
        <v>350000</v>
      </c>
      <c r="I1491" s="126">
        <f t="shared" si="52"/>
        <v>189000</v>
      </c>
    </row>
    <row r="1492" spans="2:10" ht="15.95" customHeight="1" x14ac:dyDescent="0.25">
      <c r="C1492" s="122"/>
      <c r="D1492" s="117" t="s">
        <v>1922</v>
      </c>
      <c r="E1492" s="118"/>
      <c r="F1492" s="123" t="s">
        <v>158</v>
      </c>
      <c r="G1492" s="124">
        <v>0.81</v>
      </c>
      <c r="H1492" s="144">
        <f t="shared" si="51"/>
        <v>600000</v>
      </c>
      <c r="I1492" s="126">
        <f t="shared" si="52"/>
        <v>486000.00000000006</v>
      </c>
    </row>
    <row r="1493" spans="2:10" ht="15.95" customHeight="1" x14ac:dyDescent="0.25">
      <c r="C1493" s="122"/>
      <c r="D1493" s="117" t="s">
        <v>618</v>
      </c>
      <c r="E1493" s="118"/>
      <c r="F1493" s="123" t="s">
        <v>158</v>
      </c>
      <c r="G1493" s="124">
        <v>0.105</v>
      </c>
      <c r="H1493" s="144">
        <f t="shared" si="51"/>
        <v>5500000</v>
      </c>
      <c r="I1493" s="126">
        <f t="shared" si="52"/>
        <v>577500</v>
      </c>
    </row>
    <row r="1494" spans="2:10" ht="15.95" customHeight="1" x14ac:dyDescent="0.25">
      <c r="C1494" s="122"/>
      <c r="D1494" s="117" t="s">
        <v>595</v>
      </c>
      <c r="E1494" s="118"/>
      <c r="F1494" s="123" t="s">
        <v>621</v>
      </c>
      <c r="G1494" s="124">
        <v>2.5</v>
      </c>
      <c r="H1494" s="144">
        <f t="shared" si="51"/>
        <v>135000</v>
      </c>
      <c r="I1494" s="126">
        <f t="shared" si="52"/>
        <v>337500</v>
      </c>
    </row>
    <row r="1495" spans="2:10" ht="15.95" customHeight="1" thickBot="1" x14ac:dyDescent="0.3">
      <c r="C1495" s="122"/>
      <c r="D1495" s="117" t="s">
        <v>378</v>
      </c>
      <c r="E1495" s="118"/>
      <c r="F1495" s="123" t="s">
        <v>379</v>
      </c>
      <c r="G1495" s="124">
        <v>14</v>
      </c>
      <c r="H1495" s="144">
        <f t="shared" si="51"/>
        <v>31250</v>
      </c>
      <c r="I1495" s="126">
        <f t="shared" si="52"/>
        <v>437500</v>
      </c>
    </row>
    <row r="1496" spans="2:10" ht="15.95" customHeight="1" thickBot="1" x14ac:dyDescent="0.3">
      <c r="C1496" s="132"/>
      <c r="D1496" s="133"/>
      <c r="E1496" s="134"/>
      <c r="F1496" s="134"/>
      <c r="G1496" s="135" t="s">
        <v>386</v>
      </c>
      <c r="H1496" s="136"/>
      <c r="I1496" s="137">
        <f>SUM(I1485:I1495)</f>
        <v>6671842</v>
      </c>
    </row>
    <row r="1497" spans="2:10" ht="15.95" customHeight="1" thickBot="1" x14ac:dyDescent="0.3">
      <c r="C1497" s="116" t="s">
        <v>387</v>
      </c>
      <c r="D1497" s="117" t="s">
        <v>388</v>
      </c>
      <c r="E1497" s="118"/>
      <c r="F1497" s="118"/>
      <c r="G1497" s="165"/>
      <c r="H1497" s="144">
        <f>IF(AND(D1497&lt;&gt;"",F1497&lt;&gt;""),IF(C1497="",IF(F1497="OH",VLOOKUP(D1497,[1]UPAH!$B$3:$G$32,7,0),VLOOKUP(D1497,[1]BAHAN!$A$2:$D$3,4,0)),0),0)</f>
        <v>0</v>
      </c>
      <c r="I1497" s="126">
        <f>G1497*H1497</f>
        <v>0</v>
      </c>
    </row>
    <row r="1498" spans="2:10" ht="15.95" customHeight="1" thickBot="1" x14ac:dyDescent="0.3">
      <c r="C1498" s="132"/>
      <c r="D1498" s="133"/>
      <c r="E1498" s="134"/>
      <c r="F1498" s="134"/>
      <c r="G1498" s="135" t="s">
        <v>389</v>
      </c>
      <c r="H1498" s="136"/>
      <c r="I1498" s="137">
        <f>I1497</f>
        <v>0</v>
      </c>
    </row>
    <row r="1499" spans="2:10" ht="15.95" customHeight="1" x14ac:dyDescent="0.25">
      <c r="C1499" s="158" t="s">
        <v>390</v>
      </c>
      <c r="D1499" s="159" t="s">
        <v>391</v>
      </c>
      <c r="E1499" s="160"/>
      <c r="F1499" s="160"/>
      <c r="G1499" s="161"/>
      <c r="H1499" s="162">
        <f>IF(AND(D1499&lt;&gt;"",F1499&lt;&gt;""),IF(C1499="",IF(F1499="OH",VLOOKUP(D1499,[1]UPAH!$B$3:$G$32,7,0),VLOOKUP(D1499,[1]BAHAN!$A$2:$D$3,4,0)),0),0)</f>
        <v>0</v>
      </c>
      <c r="I1499" s="126">
        <f>SUM(I1476:I1498)/2</f>
        <v>7964747</v>
      </c>
    </row>
    <row r="1500" spans="2:10" ht="15.95" customHeight="1" thickBot="1" x14ac:dyDescent="0.3">
      <c r="C1500" s="147" t="s">
        <v>392</v>
      </c>
      <c r="D1500" s="148" t="s">
        <v>393</v>
      </c>
      <c r="E1500" s="149"/>
      <c r="F1500" s="149"/>
      <c r="G1500" s="164">
        <v>0.1</v>
      </c>
      <c r="H1500" s="151"/>
      <c r="I1500" s="146">
        <f>G1500*I1499</f>
        <v>796474.70000000007</v>
      </c>
    </row>
    <row r="1501" spans="2:10" ht="15.95" customHeight="1" thickBot="1" x14ac:dyDescent="0.3">
      <c r="C1501" s="111" t="s">
        <v>394</v>
      </c>
      <c r="D1501" s="112" t="s">
        <v>395</v>
      </c>
      <c r="E1501" s="134"/>
      <c r="F1501" s="134"/>
      <c r="G1501" s="156"/>
      <c r="H1501" s="136">
        <f>IF(AND(D1501&lt;&gt;"",F1501&lt;&gt;""),IF(C1501="",IF(F1501="OH",VLOOKUP(D1501,[1]UPAH!$B$3:$G$32,7,0),VLOOKUP(D1501,[1]BAHAN!$A$2:$D$3,4,0)),0),0)</f>
        <v>0</v>
      </c>
      <c r="I1501" s="137">
        <f>ROUNDDOWN(I1499+I1500,0)</f>
        <v>8761221</v>
      </c>
    </row>
    <row r="1502" spans="2:10" ht="15.95" customHeight="1" x14ac:dyDescent="0.25">
      <c r="C1502" s="109"/>
      <c r="D1502" s="109"/>
      <c r="G1502" s="157"/>
    </row>
    <row r="1503" spans="2:10" ht="15.95" customHeight="1" thickBot="1" x14ac:dyDescent="0.3">
      <c r="B1503" s="109" t="s">
        <v>628</v>
      </c>
      <c r="C1503" s="104" t="s">
        <v>629</v>
      </c>
      <c r="G1503" s="157"/>
      <c r="J1503" s="110">
        <f>I1527</f>
        <v>129930</v>
      </c>
    </row>
    <row r="1504" spans="2:10" ht="15.95" customHeight="1" thickBot="1" x14ac:dyDescent="0.3">
      <c r="C1504" s="111" t="s">
        <v>328</v>
      </c>
      <c r="D1504" s="112" t="s">
        <v>359</v>
      </c>
      <c r="E1504" s="113" t="s">
        <v>360</v>
      </c>
      <c r="F1504" s="113" t="s">
        <v>330</v>
      </c>
      <c r="G1504" s="114" t="s">
        <v>361</v>
      </c>
      <c r="H1504" s="112" t="s">
        <v>362</v>
      </c>
      <c r="I1504" s="115" t="s">
        <v>363</v>
      </c>
    </row>
    <row r="1505" spans="3:9" ht="15.95" customHeight="1" x14ac:dyDescent="0.25">
      <c r="C1505" s="116" t="s">
        <v>364</v>
      </c>
      <c r="D1505" s="117" t="s">
        <v>365</v>
      </c>
      <c r="E1505" s="118"/>
      <c r="F1505" s="118"/>
      <c r="G1505" s="165"/>
      <c r="H1505" s="144"/>
      <c r="I1505" s="126"/>
    </row>
    <row r="1506" spans="3:9" ht="15.95" customHeight="1" x14ac:dyDescent="0.25">
      <c r="C1506" s="122"/>
      <c r="D1506" s="117" t="s">
        <v>366</v>
      </c>
      <c r="E1506" s="123" t="s">
        <v>367</v>
      </c>
      <c r="F1506" s="123" t="s">
        <v>368</v>
      </c>
      <c r="G1506" s="124">
        <v>0.18</v>
      </c>
      <c r="H1506" s="125">
        <f t="shared" ref="H1506:H1511" si="53">VLOOKUP(D1506,Upah,8,FALSE)</f>
        <v>125000</v>
      </c>
      <c r="I1506" s="126">
        <f t="shared" ref="I1506:I1511" si="54">G1506*H1506</f>
        <v>22500</v>
      </c>
    </row>
    <row r="1507" spans="3:9" ht="15.95" customHeight="1" x14ac:dyDescent="0.25">
      <c r="C1507" s="122"/>
      <c r="D1507" s="117" t="s">
        <v>413</v>
      </c>
      <c r="E1507" s="123" t="s">
        <v>414</v>
      </c>
      <c r="F1507" s="123" t="s">
        <v>368</v>
      </c>
      <c r="G1507" s="124">
        <v>0.02</v>
      </c>
      <c r="H1507" s="125">
        <f t="shared" si="53"/>
        <v>150000</v>
      </c>
      <c r="I1507" s="126">
        <f t="shared" si="54"/>
        <v>3000</v>
      </c>
    </row>
    <row r="1508" spans="3:9" ht="15.95" customHeight="1" x14ac:dyDescent="0.25">
      <c r="C1508" s="122"/>
      <c r="D1508" s="117" t="s">
        <v>611</v>
      </c>
      <c r="E1508" s="123" t="s">
        <v>370</v>
      </c>
      <c r="F1508" s="123" t="s">
        <v>368</v>
      </c>
      <c r="G1508" s="124">
        <v>0.02</v>
      </c>
      <c r="H1508" s="125">
        <f t="shared" si="53"/>
        <v>150000</v>
      </c>
      <c r="I1508" s="126">
        <f t="shared" si="54"/>
        <v>3000</v>
      </c>
    </row>
    <row r="1509" spans="3:9" ht="15.95" customHeight="1" x14ac:dyDescent="0.25">
      <c r="C1509" s="122"/>
      <c r="D1509" s="117" t="s">
        <v>612</v>
      </c>
      <c r="E1509" s="123" t="s">
        <v>578</v>
      </c>
      <c r="F1509" s="123" t="s">
        <v>368</v>
      </c>
      <c r="G1509" s="124">
        <v>0.02</v>
      </c>
      <c r="H1509" s="125">
        <f t="shared" si="53"/>
        <v>150000</v>
      </c>
      <c r="I1509" s="126">
        <f t="shared" si="54"/>
        <v>3000</v>
      </c>
    </row>
    <row r="1510" spans="3:9" ht="15.95" customHeight="1" x14ac:dyDescent="0.25">
      <c r="C1510" s="122"/>
      <c r="D1510" s="117" t="s">
        <v>429</v>
      </c>
      <c r="E1510" s="123" t="s">
        <v>372</v>
      </c>
      <c r="F1510" s="123" t="s">
        <v>368</v>
      </c>
      <c r="G1510" s="124">
        <v>6.0000000000000001E-3</v>
      </c>
      <c r="H1510" s="125">
        <f t="shared" si="53"/>
        <v>165000</v>
      </c>
      <c r="I1510" s="126">
        <f t="shared" si="54"/>
        <v>990</v>
      </c>
    </row>
    <row r="1511" spans="3:9" ht="15.95" customHeight="1" thickBot="1" x14ac:dyDescent="0.3">
      <c r="C1511" s="122"/>
      <c r="D1511" s="117" t="s">
        <v>373</v>
      </c>
      <c r="E1511" s="123" t="s">
        <v>374</v>
      </c>
      <c r="F1511" s="123" t="s">
        <v>368</v>
      </c>
      <c r="G1511" s="124">
        <v>8.9999999999999993E-3</v>
      </c>
      <c r="H1511" s="125">
        <f t="shared" si="53"/>
        <v>170000</v>
      </c>
      <c r="I1511" s="126">
        <f t="shared" si="54"/>
        <v>1529.9999999999998</v>
      </c>
    </row>
    <row r="1512" spans="3:9" ht="15.95" customHeight="1" thickBot="1" x14ac:dyDescent="0.3">
      <c r="C1512" s="132"/>
      <c r="D1512" s="133"/>
      <c r="E1512" s="134"/>
      <c r="F1512" s="134"/>
      <c r="G1512" s="135" t="s">
        <v>375</v>
      </c>
      <c r="H1512" s="136"/>
      <c r="I1512" s="137">
        <f>SUM(I1506:I1511)</f>
        <v>34020</v>
      </c>
    </row>
    <row r="1513" spans="3:9" ht="15.95" customHeight="1" x14ac:dyDescent="0.25">
      <c r="C1513" s="116" t="s">
        <v>376</v>
      </c>
      <c r="D1513" s="117" t="s">
        <v>377</v>
      </c>
      <c r="E1513" s="118"/>
      <c r="F1513" s="118"/>
      <c r="G1513" s="165"/>
      <c r="H1513" s="144"/>
      <c r="I1513" s="126"/>
    </row>
    <row r="1514" spans="3:9" ht="15.95" customHeight="1" x14ac:dyDescent="0.25">
      <c r="C1514" s="122"/>
      <c r="D1514" s="117" t="s">
        <v>586</v>
      </c>
      <c r="E1514" s="118"/>
      <c r="F1514" s="123" t="s">
        <v>158</v>
      </c>
      <c r="G1514" s="124">
        <v>2E-3</v>
      </c>
      <c r="H1514" s="144">
        <f t="shared" ref="H1514:H1521" si="55">VLOOKUP(D1514,Bahan,6,FALSE)</f>
        <v>4500000</v>
      </c>
      <c r="I1514" s="126">
        <f t="shared" ref="I1514:I1521" si="56">G1514*H1514</f>
        <v>9000</v>
      </c>
    </row>
    <row r="1515" spans="3:9" ht="15.95" customHeight="1" x14ac:dyDescent="0.25">
      <c r="C1515" s="122"/>
      <c r="D1515" s="117" t="s">
        <v>613</v>
      </c>
      <c r="E1515" s="118"/>
      <c r="F1515" s="123" t="s">
        <v>133</v>
      </c>
      <c r="G1515" s="124">
        <v>0.01</v>
      </c>
      <c r="H1515" s="144">
        <f t="shared" si="55"/>
        <v>27970</v>
      </c>
      <c r="I1515" s="126">
        <f t="shared" si="56"/>
        <v>279.7</v>
      </c>
    </row>
    <row r="1516" spans="3:9" ht="15.95" customHeight="1" x14ac:dyDescent="0.25">
      <c r="C1516" s="122"/>
      <c r="D1516" s="117" t="s">
        <v>588</v>
      </c>
      <c r="E1516" s="118"/>
      <c r="F1516" s="123" t="s">
        <v>385</v>
      </c>
      <c r="G1516" s="165">
        <v>1.2</v>
      </c>
      <c r="H1516" s="144">
        <f t="shared" si="55"/>
        <v>7310</v>
      </c>
      <c r="I1516" s="126">
        <f t="shared" si="56"/>
        <v>8772</v>
      </c>
    </row>
    <row r="1517" spans="3:9" ht="15.95" customHeight="1" x14ac:dyDescent="0.25">
      <c r="C1517" s="122"/>
      <c r="D1517" s="117" t="s">
        <v>524</v>
      </c>
      <c r="E1517" s="118"/>
      <c r="F1517" s="123" t="s">
        <v>133</v>
      </c>
      <c r="G1517" s="124">
        <v>3</v>
      </c>
      <c r="H1517" s="144">
        <f t="shared" si="55"/>
        <v>12920</v>
      </c>
      <c r="I1517" s="126">
        <f t="shared" si="56"/>
        <v>38760</v>
      </c>
    </row>
    <row r="1518" spans="3:9" ht="15.95" customHeight="1" x14ac:dyDescent="0.25">
      <c r="C1518" s="122"/>
      <c r="D1518" s="117" t="s">
        <v>525</v>
      </c>
      <c r="E1518" s="118"/>
      <c r="F1518" s="123" t="s">
        <v>133</v>
      </c>
      <c r="G1518" s="124">
        <v>0.45</v>
      </c>
      <c r="H1518" s="144">
        <f t="shared" si="55"/>
        <v>27260</v>
      </c>
      <c r="I1518" s="126">
        <f t="shared" si="56"/>
        <v>12267</v>
      </c>
    </row>
    <row r="1519" spans="3:9" ht="15.95" customHeight="1" x14ac:dyDescent="0.25">
      <c r="C1519" s="122"/>
      <c r="D1519" s="117" t="s">
        <v>380</v>
      </c>
      <c r="E1519" s="118"/>
      <c r="F1519" s="123" t="s">
        <v>133</v>
      </c>
      <c r="G1519" s="124">
        <v>4</v>
      </c>
      <c r="H1519" s="144">
        <f t="shared" si="55"/>
        <v>1880</v>
      </c>
      <c r="I1519" s="126">
        <f t="shared" si="56"/>
        <v>7520</v>
      </c>
    </row>
    <row r="1520" spans="3:9" ht="15.95" customHeight="1" x14ac:dyDescent="0.25">
      <c r="C1520" s="122"/>
      <c r="D1520" s="117" t="s">
        <v>1924</v>
      </c>
      <c r="E1520" s="118"/>
      <c r="F1520" s="123" t="s">
        <v>158</v>
      </c>
      <c r="G1520" s="124">
        <v>6.0000000000000001E-3</v>
      </c>
      <c r="H1520" s="144">
        <f t="shared" si="55"/>
        <v>350000</v>
      </c>
      <c r="I1520" s="126">
        <f t="shared" si="56"/>
        <v>2100</v>
      </c>
    </row>
    <row r="1521" spans="2:10" ht="15.95" customHeight="1" thickBot="1" x14ac:dyDescent="0.3">
      <c r="C1521" s="122"/>
      <c r="D1521" s="117" t="s">
        <v>1922</v>
      </c>
      <c r="E1521" s="118"/>
      <c r="F1521" s="123" t="s">
        <v>158</v>
      </c>
      <c r="G1521" s="124">
        <v>8.9999999999999993E-3</v>
      </c>
      <c r="H1521" s="144">
        <f t="shared" si="55"/>
        <v>600000</v>
      </c>
      <c r="I1521" s="126">
        <f t="shared" si="56"/>
        <v>5400</v>
      </c>
    </row>
    <row r="1522" spans="2:10" ht="15.95" customHeight="1" thickBot="1" x14ac:dyDescent="0.3">
      <c r="C1522" s="132"/>
      <c r="D1522" s="133"/>
      <c r="E1522" s="134"/>
      <c r="F1522" s="134"/>
      <c r="G1522" s="135" t="s">
        <v>386</v>
      </c>
      <c r="H1522" s="136"/>
      <c r="I1522" s="137">
        <f>SUM(I1514:I1521)</f>
        <v>84098.7</v>
      </c>
    </row>
    <row r="1523" spans="2:10" ht="15.95" customHeight="1" thickBot="1" x14ac:dyDescent="0.3">
      <c r="C1523" s="116" t="s">
        <v>387</v>
      </c>
      <c r="D1523" s="117" t="s">
        <v>388</v>
      </c>
      <c r="E1523" s="118"/>
      <c r="F1523" s="118"/>
      <c r="G1523" s="165"/>
      <c r="H1523" s="144">
        <f>IF(AND(D1523&lt;&gt;"",F1523&lt;&gt;""),IF(C1523="",IF(F1523="OH",VLOOKUP(D1523,[1]UPAH!$B$3:$G$32,7,0),VLOOKUP(D1523,[1]BAHAN!$A$2:$D$3,4,0)),0),0)</f>
        <v>0</v>
      </c>
      <c r="I1523" s="126">
        <f>G1523*H1523</f>
        <v>0</v>
      </c>
    </row>
    <row r="1524" spans="2:10" ht="15.95" customHeight="1" thickBot="1" x14ac:dyDescent="0.3">
      <c r="C1524" s="132"/>
      <c r="D1524" s="133"/>
      <c r="E1524" s="134"/>
      <c r="F1524" s="134"/>
      <c r="G1524" s="135" t="s">
        <v>389</v>
      </c>
      <c r="H1524" s="136"/>
      <c r="I1524" s="137">
        <f>I1523</f>
        <v>0</v>
      </c>
    </row>
    <row r="1525" spans="2:10" ht="15.95" customHeight="1" x14ac:dyDescent="0.25">
      <c r="C1525" s="158" t="s">
        <v>390</v>
      </c>
      <c r="D1525" s="159" t="s">
        <v>391</v>
      </c>
      <c r="E1525" s="160"/>
      <c r="F1525" s="160"/>
      <c r="G1525" s="161"/>
      <c r="H1525" s="162">
        <f>IF(AND(D1525&lt;&gt;"",F1525&lt;&gt;""),IF(C1525="",IF(F1525="OH",VLOOKUP(D1525,[1]UPAH!$B$3:$G$32,7,0),VLOOKUP(D1525,[1]BAHAN!$A$2:$D$3,4,0)),0),0)</f>
        <v>0</v>
      </c>
      <c r="I1525" s="126">
        <f>SUM(I1505:I1524)/2</f>
        <v>118118.70000000001</v>
      </c>
    </row>
    <row r="1526" spans="2:10" ht="15.95" customHeight="1" thickBot="1" x14ac:dyDescent="0.3">
      <c r="C1526" s="147" t="s">
        <v>392</v>
      </c>
      <c r="D1526" s="148" t="s">
        <v>393</v>
      </c>
      <c r="E1526" s="149"/>
      <c r="F1526" s="149"/>
      <c r="G1526" s="164">
        <v>0.1</v>
      </c>
      <c r="H1526" s="151"/>
      <c r="I1526" s="146">
        <f>G1526*I1525</f>
        <v>11811.870000000003</v>
      </c>
    </row>
    <row r="1527" spans="2:10" ht="15.95" customHeight="1" thickBot="1" x14ac:dyDescent="0.3">
      <c r="C1527" s="111" t="s">
        <v>394</v>
      </c>
      <c r="D1527" s="112" t="s">
        <v>395</v>
      </c>
      <c r="E1527" s="134"/>
      <c r="F1527" s="134"/>
      <c r="G1527" s="156"/>
      <c r="H1527" s="136">
        <f>IF(AND(D1527&lt;&gt;"",F1527&lt;&gt;""),IF(C1527="",IF(F1527="OH",VLOOKUP(D1527,[1]UPAH!$B$3:$G$32,7,0),VLOOKUP(D1527,[1]BAHAN!$A$2:$D$3,4,0)),0),0)</f>
        <v>0</v>
      </c>
      <c r="I1527" s="137">
        <f>ROUNDDOWN(I1525+I1526,0)</f>
        <v>129930</v>
      </c>
    </row>
    <row r="1528" spans="2:10" ht="15.95" customHeight="1" x14ac:dyDescent="0.25">
      <c r="C1528" s="109"/>
      <c r="D1528" s="109"/>
      <c r="G1528" s="157"/>
      <c r="H1528" s="166"/>
      <c r="I1528" s="110"/>
    </row>
    <row r="1529" spans="2:10" ht="15.95" customHeight="1" thickBot="1" x14ac:dyDescent="0.3">
      <c r="B1529" s="109" t="s">
        <v>630</v>
      </c>
      <c r="C1529" s="104" t="s">
        <v>631</v>
      </c>
      <c r="G1529" s="157"/>
      <c r="J1529" s="110">
        <f>I1553</f>
        <v>164308</v>
      </c>
    </row>
    <row r="1530" spans="2:10" ht="15.95" customHeight="1" thickBot="1" x14ac:dyDescent="0.3">
      <c r="C1530" s="111" t="s">
        <v>328</v>
      </c>
      <c r="D1530" s="112" t="s">
        <v>359</v>
      </c>
      <c r="E1530" s="113" t="s">
        <v>360</v>
      </c>
      <c r="F1530" s="113" t="s">
        <v>330</v>
      </c>
      <c r="G1530" s="114" t="s">
        <v>361</v>
      </c>
      <c r="H1530" s="112" t="s">
        <v>362</v>
      </c>
      <c r="I1530" s="115" t="s">
        <v>363</v>
      </c>
    </row>
    <row r="1531" spans="2:10" ht="15.95" customHeight="1" x14ac:dyDescent="0.25">
      <c r="C1531" s="116" t="s">
        <v>364</v>
      </c>
      <c r="D1531" s="117" t="s">
        <v>365</v>
      </c>
      <c r="E1531" s="118"/>
      <c r="F1531" s="118"/>
      <c r="G1531" s="165"/>
      <c r="H1531" s="144"/>
      <c r="I1531" s="126"/>
    </row>
    <row r="1532" spans="2:10" ht="15.95" customHeight="1" x14ac:dyDescent="0.25">
      <c r="C1532" s="122"/>
      <c r="D1532" s="117" t="s">
        <v>366</v>
      </c>
      <c r="E1532" s="123" t="s">
        <v>367</v>
      </c>
      <c r="F1532" s="123" t="s">
        <v>368</v>
      </c>
      <c r="G1532" s="124">
        <v>0.29699999999999999</v>
      </c>
      <c r="H1532" s="125">
        <f t="shared" ref="H1532:H1537" si="57">VLOOKUP(D1532,Upah,8,FALSE)</f>
        <v>125000</v>
      </c>
      <c r="I1532" s="126">
        <f t="shared" ref="I1532:I1537" si="58">G1532*H1532</f>
        <v>37125</v>
      </c>
    </row>
    <row r="1533" spans="2:10" ht="15.95" customHeight="1" x14ac:dyDescent="0.25">
      <c r="C1533" s="122"/>
      <c r="D1533" s="117" t="s">
        <v>413</v>
      </c>
      <c r="E1533" s="123" t="s">
        <v>414</v>
      </c>
      <c r="F1533" s="123" t="s">
        <v>368</v>
      </c>
      <c r="G1533" s="124">
        <v>3.3000000000000002E-2</v>
      </c>
      <c r="H1533" s="125">
        <f t="shared" si="57"/>
        <v>150000</v>
      </c>
      <c r="I1533" s="126">
        <f t="shared" si="58"/>
        <v>4950</v>
      </c>
    </row>
    <row r="1534" spans="2:10" ht="15.95" customHeight="1" x14ac:dyDescent="0.25">
      <c r="C1534" s="122"/>
      <c r="D1534" s="117" t="s">
        <v>611</v>
      </c>
      <c r="E1534" s="123" t="s">
        <v>370</v>
      </c>
      <c r="F1534" s="123" t="s">
        <v>368</v>
      </c>
      <c r="G1534" s="124">
        <v>3.3000000000000002E-2</v>
      </c>
      <c r="H1534" s="125">
        <f t="shared" si="57"/>
        <v>150000</v>
      </c>
      <c r="I1534" s="126">
        <f t="shared" si="58"/>
        <v>4950</v>
      </c>
    </row>
    <row r="1535" spans="2:10" ht="15.95" customHeight="1" x14ac:dyDescent="0.25">
      <c r="C1535" s="122"/>
      <c r="D1535" s="117" t="s">
        <v>612</v>
      </c>
      <c r="E1535" s="123" t="s">
        <v>578</v>
      </c>
      <c r="F1535" s="123" t="s">
        <v>368</v>
      </c>
      <c r="G1535" s="124">
        <v>3.3000000000000002E-2</v>
      </c>
      <c r="H1535" s="125">
        <f t="shared" si="57"/>
        <v>150000</v>
      </c>
      <c r="I1535" s="126">
        <f t="shared" si="58"/>
        <v>4950</v>
      </c>
    </row>
    <row r="1536" spans="2:10" ht="15.95" customHeight="1" x14ac:dyDescent="0.25">
      <c r="C1536" s="122"/>
      <c r="D1536" s="117" t="s">
        <v>429</v>
      </c>
      <c r="E1536" s="123" t="s">
        <v>372</v>
      </c>
      <c r="F1536" s="123" t="s">
        <v>368</v>
      </c>
      <c r="G1536" s="124">
        <v>0.01</v>
      </c>
      <c r="H1536" s="125">
        <f t="shared" si="57"/>
        <v>165000</v>
      </c>
      <c r="I1536" s="126">
        <f t="shared" si="58"/>
        <v>1650</v>
      </c>
    </row>
    <row r="1537" spans="3:9" ht="15.95" customHeight="1" thickBot="1" x14ac:dyDescent="0.3">
      <c r="C1537" s="122"/>
      <c r="D1537" s="117" t="s">
        <v>373</v>
      </c>
      <c r="E1537" s="123" t="s">
        <v>374</v>
      </c>
      <c r="F1537" s="123" t="s">
        <v>368</v>
      </c>
      <c r="G1537" s="124">
        <v>1.4999999999999999E-2</v>
      </c>
      <c r="H1537" s="125">
        <f t="shared" si="57"/>
        <v>170000</v>
      </c>
      <c r="I1537" s="126">
        <f t="shared" si="58"/>
        <v>2550</v>
      </c>
    </row>
    <row r="1538" spans="3:9" ht="15.95" customHeight="1" thickBot="1" x14ac:dyDescent="0.3">
      <c r="C1538" s="132"/>
      <c r="D1538" s="133"/>
      <c r="E1538" s="134"/>
      <c r="F1538" s="134"/>
      <c r="G1538" s="135" t="s">
        <v>375</v>
      </c>
      <c r="H1538" s="136"/>
      <c r="I1538" s="137">
        <f>SUM(I1532:I1537)</f>
        <v>56175</v>
      </c>
    </row>
    <row r="1539" spans="3:9" ht="15.95" customHeight="1" x14ac:dyDescent="0.25">
      <c r="C1539" s="116" t="s">
        <v>376</v>
      </c>
      <c r="D1539" s="117" t="s">
        <v>377</v>
      </c>
      <c r="E1539" s="118"/>
      <c r="F1539" s="118"/>
      <c r="G1539" s="165"/>
      <c r="H1539" s="144"/>
      <c r="I1539" s="126"/>
    </row>
    <row r="1540" spans="3:9" ht="15.95" customHeight="1" x14ac:dyDescent="0.25">
      <c r="C1540" s="122"/>
      <c r="D1540" s="117" t="s">
        <v>586</v>
      </c>
      <c r="E1540" s="118"/>
      <c r="F1540" s="123" t="s">
        <v>158</v>
      </c>
      <c r="G1540" s="124">
        <v>3.0000000000000001E-3</v>
      </c>
      <c r="H1540" s="144">
        <f t="shared" ref="H1540:H1547" si="59">VLOOKUP(D1540,Bahan,6,FALSE)</f>
        <v>4500000</v>
      </c>
      <c r="I1540" s="126">
        <f t="shared" ref="I1540:I1547" si="60">G1540*H1540</f>
        <v>13500</v>
      </c>
    </row>
    <row r="1541" spans="3:9" ht="15.95" customHeight="1" x14ac:dyDescent="0.25">
      <c r="C1541" s="122"/>
      <c r="D1541" s="117" t="s">
        <v>613</v>
      </c>
      <c r="E1541" s="118"/>
      <c r="F1541" s="123" t="s">
        <v>133</v>
      </c>
      <c r="G1541" s="124">
        <v>0.02</v>
      </c>
      <c r="H1541" s="144">
        <f t="shared" si="59"/>
        <v>27970</v>
      </c>
      <c r="I1541" s="126">
        <f t="shared" si="60"/>
        <v>559.4</v>
      </c>
    </row>
    <row r="1542" spans="3:9" ht="15.95" customHeight="1" x14ac:dyDescent="0.25">
      <c r="C1542" s="122"/>
      <c r="D1542" s="117" t="s">
        <v>588</v>
      </c>
      <c r="E1542" s="118"/>
      <c r="F1542" s="123" t="s">
        <v>385</v>
      </c>
      <c r="G1542" s="165">
        <v>1.2</v>
      </c>
      <c r="H1542" s="144">
        <f t="shared" si="59"/>
        <v>7310</v>
      </c>
      <c r="I1542" s="126">
        <f t="shared" si="60"/>
        <v>8772</v>
      </c>
    </row>
    <row r="1543" spans="3:9" ht="15.95" customHeight="1" x14ac:dyDescent="0.25">
      <c r="C1543" s="122"/>
      <c r="D1543" s="117" t="s">
        <v>524</v>
      </c>
      <c r="E1543" s="118"/>
      <c r="F1543" s="123" t="s">
        <v>133</v>
      </c>
      <c r="G1543" s="124">
        <v>3.6</v>
      </c>
      <c r="H1543" s="144">
        <f t="shared" si="59"/>
        <v>12920</v>
      </c>
      <c r="I1543" s="126">
        <f t="shared" si="60"/>
        <v>46512</v>
      </c>
    </row>
    <row r="1544" spans="3:9" ht="15.95" customHeight="1" x14ac:dyDescent="0.25">
      <c r="C1544" s="122"/>
      <c r="D1544" s="117" t="s">
        <v>525</v>
      </c>
      <c r="E1544" s="118"/>
      <c r="F1544" s="123" t="s">
        <v>133</v>
      </c>
      <c r="G1544" s="124">
        <v>0.05</v>
      </c>
      <c r="H1544" s="144">
        <f t="shared" si="59"/>
        <v>27260</v>
      </c>
      <c r="I1544" s="126">
        <f t="shared" si="60"/>
        <v>1363</v>
      </c>
    </row>
    <row r="1545" spans="3:9" ht="15.95" customHeight="1" x14ac:dyDescent="0.25">
      <c r="C1545" s="122"/>
      <c r="D1545" s="117" t="s">
        <v>380</v>
      </c>
      <c r="E1545" s="118"/>
      <c r="F1545" s="123" t="s">
        <v>133</v>
      </c>
      <c r="G1545" s="124">
        <v>5.5</v>
      </c>
      <c r="H1545" s="144">
        <f t="shared" si="59"/>
        <v>1880</v>
      </c>
      <c r="I1545" s="126">
        <f t="shared" si="60"/>
        <v>10340</v>
      </c>
    </row>
    <row r="1546" spans="3:9" ht="15.95" customHeight="1" x14ac:dyDescent="0.25">
      <c r="C1546" s="122"/>
      <c r="D1546" s="117" t="s">
        <v>1924</v>
      </c>
      <c r="E1546" s="118"/>
      <c r="F1546" s="123" t="s">
        <v>158</v>
      </c>
      <c r="G1546" s="124">
        <v>8.9999999999999993E-3</v>
      </c>
      <c r="H1546" s="144">
        <f t="shared" si="59"/>
        <v>350000</v>
      </c>
      <c r="I1546" s="126">
        <f t="shared" si="60"/>
        <v>3149.9999999999995</v>
      </c>
    </row>
    <row r="1547" spans="3:9" ht="15.95" customHeight="1" thickBot="1" x14ac:dyDescent="0.3">
      <c r="C1547" s="122"/>
      <c r="D1547" s="117" t="s">
        <v>1922</v>
      </c>
      <c r="E1547" s="118"/>
      <c r="F1547" s="123" t="s">
        <v>158</v>
      </c>
      <c r="G1547" s="124">
        <v>1.4999999999999999E-2</v>
      </c>
      <c r="H1547" s="144">
        <f t="shared" si="59"/>
        <v>600000</v>
      </c>
      <c r="I1547" s="126">
        <f t="shared" si="60"/>
        <v>9000</v>
      </c>
    </row>
    <row r="1548" spans="3:9" ht="15.95" customHeight="1" thickBot="1" x14ac:dyDescent="0.3">
      <c r="C1548" s="132"/>
      <c r="D1548" s="133"/>
      <c r="E1548" s="134"/>
      <c r="F1548" s="134"/>
      <c r="G1548" s="135" t="s">
        <v>386</v>
      </c>
      <c r="H1548" s="136"/>
      <c r="I1548" s="137">
        <f>SUM(I1540:I1547)</f>
        <v>93196.4</v>
      </c>
    </row>
    <row r="1549" spans="3:9" ht="15.95" customHeight="1" thickBot="1" x14ac:dyDescent="0.3">
      <c r="C1549" s="116" t="s">
        <v>387</v>
      </c>
      <c r="D1549" s="117" t="s">
        <v>388</v>
      </c>
      <c r="E1549" s="118"/>
      <c r="F1549" s="118"/>
      <c r="G1549" s="165"/>
      <c r="H1549" s="144">
        <f>IF(AND(D1549&lt;&gt;"",F1549&lt;&gt;""),IF(C1549="",IF(F1549="OH",VLOOKUP(D1549,[1]UPAH!$B$3:$G$32,7,0),VLOOKUP(D1549,[1]BAHAN!$A$2:$D$3,4,0)),0),0)</f>
        <v>0</v>
      </c>
      <c r="I1549" s="126">
        <f>G1549*H1549</f>
        <v>0</v>
      </c>
    </row>
    <row r="1550" spans="3:9" ht="15.95" customHeight="1" thickBot="1" x14ac:dyDescent="0.3">
      <c r="C1550" s="132"/>
      <c r="D1550" s="133"/>
      <c r="E1550" s="134"/>
      <c r="F1550" s="134"/>
      <c r="G1550" s="135" t="s">
        <v>389</v>
      </c>
      <c r="H1550" s="136"/>
      <c r="I1550" s="137">
        <f>I1549</f>
        <v>0</v>
      </c>
    </row>
    <row r="1551" spans="3:9" ht="15.95" customHeight="1" x14ac:dyDescent="0.25">
      <c r="C1551" s="158" t="s">
        <v>390</v>
      </c>
      <c r="D1551" s="159" t="s">
        <v>391</v>
      </c>
      <c r="E1551" s="160"/>
      <c r="F1551" s="160"/>
      <c r="G1551" s="161"/>
      <c r="H1551" s="162">
        <f>IF(AND(D1551&lt;&gt;"",F1551&lt;&gt;""),IF(C1551="",IF(F1551="OH",VLOOKUP(D1551,[1]UPAH!$B$3:$G$32,7,0),VLOOKUP(D1551,[1]BAHAN!$A$2:$D$3,4,0)),0),0)</f>
        <v>0</v>
      </c>
      <c r="I1551" s="126">
        <f>SUM(I1530:I1550)/2</f>
        <v>149371.4</v>
      </c>
    </row>
    <row r="1552" spans="3:9" ht="15.95" customHeight="1" thickBot="1" x14ac:dyDescent="0.3">
      <c r="C1552" s="147" t="s">
        <v>392</v>
      </c>
      <c r="D1552" s="148" t="s">
        <v>393</v>
      </c>
      <c r="E1552" s="149"/>
      <c r="F1552" s="149"/>
      <c r="G1552" s="164">
        <v>0.1</v>
      </c>
      <c r="H1552" s="151"/>
      <c r="I1552" s="146">
        <f>G1552*I1551</f>
        <v>14937.14</v>
      </c>
    </row>
    <row r="1553" spans="1:10" ht="15.95" customHeight="1" thickBot="1" x14ac:dyDescent="0.3">
      <c r="C1553" s="111" t="s">
        <v>394</v>
      </c>
      <c r="D1553" s="112" t="s">
        <v>395</v>
      </c>
      <c r="E1553" s="134"/>
      <c r="F1553" s="134"/>
      <c r="G1553" s="156"/>
      <c r="H1553" s="136">
        <f>IF(AND(D1553&lt;&gt;"",F1553&lt;&gt;""),IF(C1553="",IF(F1553="OH",VLOOKUP(D1553,[1]UPAH!$B$3:$G$32,7,0),VLOOKUP(D1553,[1]BAHAN!$A$2:$D$3,4,0)),0),0)</f>
        <v>0</v>
      </c>
      <c r="I1553" s="137">
        <f>ROUNDDOWN(I1551+I1552,0)</f>
        <v>164308</v>
      </c>
    </row>
    <row r="1554" spans="1:10" ht="15.95" customHeight="1" x14ac:dyDescent="0.25">
      <c r="C1554" s="109"/>
      <c r="D1554" s="109"/>
      <c r="G1554" s="157"/>
    </row>
    <row r="1555" spans="1:10" ht="15.95" customHeight="1" x14ac:dyDescent="0.25">
      <c r="A1555" s="167" t="s">
        <v>632</v>
      </c>
      <c r="B1555" s="168" t="s">
        <v>633</v>
      </c>
      <c r="G1555" s="157"/>
    </row>
    <row r="1556" spans="1:10" ht="15.95" customHeight="1" thickBot="1" x14ac:dyDescent="0.3">
      <c r="B1556" s="109" t="s">
        <v>634</v>
      </c>
      <c r="C1556" s="104" t="s">
        <v>635</v>
      </c>
      <c r="G1556" s="157"/>
      <c r="J1556" s="110">
        <f>I1574</f>
        <v>135769</v>
      </c>
    </row>
    <row r="1557" spans="1:10" ht="15.95" customHeight="1" thickBot="1" x14ac:dyDescent="0.3">
      <c r="C1557" s="111" t="s">
        <v>328</v>
      </c>
      <c r="D1557" s="112" t="s">
        <v>359</v>
      </c>
      <c r="E1557" s="113" t="s">
        <v>360</v>
      </c>
      <c r="F1557" s="113" t="s">
        <v>330</v>
      </c>
      <c r="G1557" s="114" t="s">
        <v>361</v>
      </c>
      <c r="H1557" s="112" t="s">
        <v>362</v>
      </c>
      <c r="I1557" s="115" t="s">
        <v>363</v>
      </c>
    </row>
    <row r="1558" spans="1:10" ht="15.95" customHeight="1" x14ac:dyDescent="0.25">
      <c r="C1558" s="116" t="s">
        <v>364</v>
      </c>
      <c r="D1558" s="117" t="s">
        <v>365</v>
      </c>
      <c r="E1558" s="118"/>
      <c r="F1558" s="118"/>
      <c r="G1558" s="165"/>
      <c r="H1558" s="144"/>
      <c r="I1558" s="126"/>
    </row>
    <row r="1559" spans="1:10" ht="15.95" customHeight="1" x14ac:dyDescent="0.25">
      <c r="C1559" s="122"/>
      <c r="D1559" s="117" t="s">
        <v>366</v>
      </c>
      <c r="E1559" s="123" t="s">
        <v>367</v>
      </c>
      <c r="F1559" s="123" t="s">
        <v>368</v>
      </c>
      <c r="G1559" s="124">
        <v>0.13200000000000001</v>
      </c>
      <c r="H1559" s="125">
        <f>VLOOKUP(D1559,Upah,8,FALSE)</f>
        <v>125000</v>
      </c>
      <c r="I1559" s="126">
        <f>G1559*H1559</f>
        <v>16500</v>
      </c>
    </row>
    <row r="1560" spans="1:10" ht="15.95" customHeight="1" x14ac:dyDescent="0.25">
      <c r="C1560" s="122"/>
      <c r="D1560" s="117" t="s">
        <v>413</v>
      </c>
      <c r="E1560" s="123" t="s">
        <v>414</v>
      </c>
      <c r="F1560" s="123" t="s">
        <v>368</v>
      </c>
      <c r="G1560" s="124">
        <v>2.1999999999999999E-2</v>
      </c>
      <c r="H1560" s="125">
        <f>VLOOKUP(D1560,Upah,8,FALSE)</f>
        <v>150000</v>
      </c>
      <c r="I1560" s="126">
        <f>G1560*H1560</f>
        <v>3300</v>
      </c>
    </row>
    <row r="1561" spans="1:10" ht="15.95" customHeight="1" x14ac:dyDescent="0.25">
      <c r="C1561" s="122"/>
      <c r="D1561" s="117" t="s">
        <v>429</v>
      </c>
      <c r="E1561" s="123" t="s">
        <v>372</v>
      </c>
      <c r="F1561" s="123" t="s">
        <v>368</v>
      </c>
      <c r="G1561" s="124">
        <v>2E-3</v>
      </c>
      <c r="H1561" s="125">
        <f>VLOOKUP(D1561,Upah,8,FALSE)</f>
        <v>165000</v>
      </c>
      <c r="I1561" s="126">
        <f>G1561*H1561</f>
        <v>330</v>
      </c>
    </row>
    <row r="1562" spans="1:10" ht="15.95" customHeight="1" thickBot="1" x14ac:dyDescent="0.3">
      <c r="C1562" s="122"/>
      <c r="D1562" s="117" t="s">
        <v>373</v>
      </c>
      <c r="E1562" s="123" t="s">
        <v>374</v>
      </c>
      <c r="F1562" s="123" t="s">
        <v>368</v>
      </c>
      <c r="G1562" s="124">
        <v>7.0000000000000001E-3</v>
      </c>
      <c r="H1562" s="125">
        <f>VLOOKUP(D1562,Upah,8,FALSE)</f>
        <v>170000</v>
      </c>
      <c r="I1562" s="126">
        <f>G1562*H1562</f>
        <v>1190</v>
      </c>
    </row>
    <row r="1563" spans="1:10" ht="15.95" customHeight="1" thickBot="1" x14ac:dyDescent="0.3">
      <c r="C1563" s="132"/>
      <c r="D1563" s="133"/>
      <c r="E1563" s="134"/>
      <c r="F1563" s="134"/>
      <c r="G1563" s="135" t="s">
        <v>375</v>
      </c>
      <c r="H1563" s="136"/>
      <c r="I1563" s="137">
        <f>SUM(I1559:I1562)</f>
        <v>21320</v>
      </c>
    </row>
    <row r="1564" spans="1:10" ht="15.95" customHeight="1" x14ac:dyDescent="0.25">
      <c r="C1564" s="116" t="s">
        <v>376</v>
      </c>
      <c r="D1564" s="117" t="s">
        <v>377</v>
      </c>
      <c r="E1564" s="118"/>
      <c r="F1564" s="118"/>
      <c r="G1564" s="165"/>
      <c r="H1564" s="144"/>
      <c r="I1564" s="126"/>
    </row>
    <row r="1565" spans="1:10" ht="15.95" customHeight="1" x14ac:dyDescent="0.25">
      <c r="C1565" s="122"/>
      <c r="D1565" s="117" t="s">
        <v>380</v>
      </c>
      <c r="E1565" s="118"/>
      <c r="F1565" s="123" t="s">
        <v>159</v>
      </c>
      <c r="G1565" s="124">
        <v>26.08</v>
      </c>
      <c r="H1565" s="144">
        <f>VLOOKUP(D1565,Bahan,6,FALSE)</f>
        <v>1880</v>
      </c>
      <c r="I1565" s="126">
        <f>G1565*H1565</f>
        <v>49030.399999999994</v>
      </c>
    </row>
    <row r="1566" spans="1:10" ht="15.95" customHeight="1" x14ac:dyDescent="0.25">
      <c r="C1566" s="122"/>
      <c r="D1566" s="117" t="s">
        <v>1918</v>
      </c>
      <c r="E1566" s="118"/>
      <c r="F1566" s="123" t="s">
        <v>159</v>
      </c>
      <c r="G1566" s="124">
        <v>60.8</v>
      </c>
      <c r="H1566" s="144">
        <f>VLOOKUP(D1566,Bahan,6,FALSE)</f>
        <v>250</v>
      </c>
      <c r="I1566" s="126">
        <f>G1566*H1566</f>
        <v>15200</v>
      </c>
    </row>
    <row r="1567" spans="1:10" ht="15.95" customHeight="1" x14ac:dyDescent="0.25">
      <c r="C1567" s="122"/>
      <c r="D1567" s="117" t="s">
        <v>1920</v>
      </c>
      <c r="E1567" s="118"/>
      <c r="F1567" s="123" t="s">
        <v>159</v>
      </c>
      <c r="G1567" s="124">
        <v>82.32</v>
      </c>
      <c r="H1567" s="144">
        <f>VLOOKUP(D1567,Bahan,6,FALSE)</f>
        <v>444.44444444444446</v>
      </c>
      <c r="I1567" s="126">
        <f>G1567*H1567</f>
        <v>36586.666666666664</v>
      </c>
    </row>
    <row r="1568" spans="1:10" ht="15.95" customHeight="1" thickBot="1" x14ac:dyDescent="0.3">
      <c r="C1568" s="122"/>
      <c r="D1568" s="117" t="s">
        <v>532</v>
      </c>
      <c r="E1568" s="118"/>
      <c r="F1568" s="123" t="s">
        <v>636</v>
      </c>
      <c r="G1568" s="124">
        <v>17.2</v>
      </c>
      <c r="H1568" s="144">
        <f>VLOOKUP(D1568,Bahan,6,FALSE)</f>
        <v>75</v>
      </c>
      <c r="I1568" s="126">
        <f>G1568*H1568</f>
        <v>1290</v>
      </c>
    </row>
    <row r="1569" spans="2:10" ht="15.95" customHeight="1" thickBot="1" x14ac:dyDescent="0.3">
      <c r="C1569" s="132"/>
      <c r="D1569" s="133"/>
      <c r="E1569" s="134"/>
      <c r="F1569" s="134"/>
      <c r="G1569" s="135" t="s">
        <v>386</v>
      </c>
      <c r="H1569" s="136"/>
      <c r="I1569" s="137">
        <f>SUM(I1565:I1568)</f>
        <v>102107.06666666665</v>
      </c>
    </row>
    <row r="1570" spans="2:10" ht="15.95" customHeight="1" thickBot="1" x14ac:dyDescent="0.3">
      <c r="C1570" s="116" t="s">
        <v>387</v>
      </c>
      <c r="D1570" s="117" t="s">
        <v>388</v>
      </c>
      <c r="E1570" s="118"/>
      <c r="F1570" s="118"/>
      <c r="G1570" s="165"/>
      <c r="H1570" s="144">
        <f>IF(AND(D1570&lt;&gt;"",F1570&lt;&gt;""),IF(C1570="",IF(F1570="OH",VLOOKUP(D1570,[1]UPAH!$B$3:$G$32,7,0),VLOOKUP(D1570,[1]BAHAN!$A$2:$D$3,4,0)),0),0)</f>
        <v>0</v>
      </c>
      <c r="I1570" s="126">
        <f>G1570*H1570</f>
        <v>0</v>
      </c>
    </row>
    <row r="1571" spans="2:10" ht="15.95" customHeight="1" thickBot="1" x14ac:dyDescent="0.3">
      <c r="C1571" s="132"/>
      <c r="D1571" s="133"/>
      <c r="E1571" s="134"/>
      <c r="F1571" s="134"/>
      <c r="G1571" s="135" t="s">
        <v>389</v>
      </c>
      <c r="H1571" s="136"/>
      <c r="I1571" s="137">
        <f>I1570</f>
        <v>0</v>
      </c>
    </row>
    <row r="1572" spans="2:10" ht="15.95" customHeight="1" x14ac:dyDescent="0.25">
      <c r="C1572" s="158" t="s">
        <v>390</v>
      </c>
      <c r="D1572" s="159" t="s">
        <v>391</v>
      </c>
      <c r="E1572" s="160"/>
      <c r="F1572" s="160"/>
      <c r="G1572" s="161"/>
      <c r="H1572" s="162">
        <f>IF(AND(D1572&lt;&gt;"",F1572&lt;&gt;""),IF(C1572="",IF(F1572="OH",VLOOKUP(D1572,[1]UPAH!$B$3:$G$32,7,0),VLOOKUP(D1572,[1]BAHAN!$A$2:$D$3,4,0)),0),0)</f>
        <v>0</v>
      </c>
      <c r="I1572" s="126">
        <f>SUM(I1558:I1571)/2</f>
        <v>123427.06666666665</v>
      </c>
    </row>
    <row r="1573" spans="2:10" ht="15.95" customHeight="1" thickBot="1" x14ac:dyDescent="0.3">
      <c r="C1573" s="147" t="s">
        <v>392</v>
      </c>
      <c r="D1573" s="148" t="s">
        <v>393</v>
      </c>
      <c r="E1573" s="149"/>
      <c r="F1573" s="149"/>
      <c r="G1573" s="164">
        <v>0.1</v>
      </c>
      <c r="H1573" s="151"/>
      <c r="I1573" s="146">
        <f>G1573*I1572</f>
        <v>12342.706666666665</v>
      </c>
    </row>
    <row r="1574" spans="2:10" ht="15.95" customHeight="1" thickBot="1" x14ac:dyDescent="0.3">
      <c r="C1574" s="111" t="s">
        <v>394</v>
      </c>
      <c r="D1574" s="112" t="s">
        <v>395</v>
      </c>
      <c r="E1574" s="134"/>
      <c r="F1574" s="134"/>
      <c r="G1574" s="156"/>
      <c r="H1574" s="136">
        <f>IF(AND(D1574&lt;&gt;"",F1574&lt;&gt;""),IF(C1574="",IF(F1574="OH",VLOOKUP(D1574,[1]UPAH!$B$3:$G$32,7,0),VLOOKUP(D1574,[1]BAHAN!$A$2:$D$3,4,0)),0),0)</f>
        <v>0</v>
      </c>
      <c r="I1574" s="137">
        <f>ROUNDDOWN(I1572+I1573,0)</f>
        <v>135769</v>
      </c>
    </row>
    <row r="1575" spans="2:10" ht="15.95" customHeight="1" x14ac:dyDescent="0.25">
      <c r="C1575" s="109"/>
      <c r="D1575" s="109"/>
      <c r="G1575" s="157"/>
    </row>
    <row r="1576" spans="2:10" ht="15.95" customHeight="1" thickBot="1" x14ac:dyDescent="0.3">
      <c r="B1576" s="104" t="s">
        <v>637</v>
      </c>
      <c r="C1576" s="109" t="s">
        <v>638</v>
      </c>
      <c r="G1576" s="157"/>
      <c r="J1576" s="110">
        <f>I1594</f>
        <v>169745</v>
      </c>
    </row>
    <row r="1577" spans="2:10" ht="15.95" customHeight="1" thickBot="1" x14ac:dyDescent="0.3">
      <c r="C1577" s="111" t="s">
        <v>328</v>
      </c>
      <c r="D1577" s="112" t="s">
        <v>359</v>
      </c>
      <c r="E1577" s="113" t="s">
        <v>360</v>
      </c>
      <c r="F1577" s="113" t="s">
        <v>330</v>
      </c>
      <c r="G1577" s="114" t="s">
        <v>361</v>
      </c>
      <c r="H1577" s="112" t="s">
        <v>362</v>
      </c>
      <c r="I1577" s="115" t="s">
        <v>363</v>
      </c>
    </row>
    <row r="1578" spans="2:10" ht="15.95" customHeight="1" x14ac:dyDescent="0.25">
      <c r="C1578" s="116" t="s">
        <v>364</v>
      </c>
      <c r="D1578" s="117" t="s">
        <v>365</v>
      </c>
      <c r="E1578" s="118"/>
      <c r="F1578" s="118"/>
      <c r="G1578" s="165"/>
      <c r="H1578" s="144"/>
      <c r="I1578" s="126"/>
    </row>
    <row r="1579" spans="2:10" ht="15.95" customHeight="1" x14ac:dyDescent="0.25">
      <c r="C1579" s="122"/>
      <c r="D1579" s="117" t="s">
        <v>366</v>
      </c>
      <c r="E1579" s="123" t="s">
        <v>367</v>
      </c>
      <c r="F1579" s="123" t="s">
        <v>368</v>
      </c>
      <c r="G1579" s="124">
        <v>0.16500000000000001</v>
      </c>
      <c r="H1579" s="125">
        <f>VLOOKUP(D1579,Upah,8,FALSE)</f>
        <v>125000</v>
      </c>
      <c r="I1579" s="126">
        <f>G1579*H1579</f>
        <v>20625</v>
      </c>
    </row>
    <row r="1580" spans="2:10" ht="15.95" customHeight="1" x14ac:dyDescent="0.25">
      <c r="C1580" s="122"/>
      <c r="D1580" s="117" t="s">
        <v>413</v>
      </c>
      <c r="E1580" s="123" t="s">
        <v>414</v>
      </c>
      <c r="F1580" s="123" t="s">
        <v>368</v>
      </c>
      <c r="G1580" s="124">
        <v>2.8000000000000001E-2</v>
      </c>
      <c r="H1580" s="125">
        <f>VLOOKUP(D1580,Upah,8,FALSE)</f>
        <v>150000</v>
      </c>
      <c r="I1580" s="126">
        <f>G1580*H1580</f>
        <v>4200</v>
      </c>
    </row>
    <row r="1581" spans="2:10" ht="15.95" customHeight="1" x14ac:dyDescent="0.25">
      <c r="C1581" s="122"/>
      <c r="D1581" s="117" t="s">
        <v>429</v>
      </c>
      <c r="E1581" s="123" t="s">
        <v>372</v>
      </c>
      <c r="F1581" s="123" t="s">
        <v>368</v>
      </c>
      <c r="G1581" s="124">
        <v>3.0000000000000001E-3</v>
      </c>
      <c r="H1581" s="125">
        <f>VLOOKUP(D1581,Upah,8,FALSE)</f>
        <v>165000</v>
      </c>
      <c r="I1581" s="126">
        <f>G1581*H1581</f>
        <v>495</v>
      </c>
    </row>
    <row r="1582" spans="2:10" ht="15.95" customHeight="1" thickBot="1" x14ac:dyDescent="0.3">
      <c r="C1582" s="122"/>
      <c r="D1582" s="117" t="s">
        <v>373</v>
      </c>
      <c r="E1582" s="123" t="s">
        <v>374</v>
      </c>
      <c r="F1582" s="123" t="s">
        <v>368</v>
      </c>
      <c r="G1582" s="124">
        <v>8.0000000000000002E-3</v>
      </c>
      <c r="H1582" s="125">
        <f>VLOOKUP(D1582,Upah,8,FALSE)</f>
        <v>170000</v>
      </c>
      <c r="I1582" s="126">
        <f>G1582*H1582</f>
        <v>1360</v>
      </c>
    </row>
    <row r="1583" spans="2:10" ht="15.95" customHeight="1" thickBot="1" x14ac:dyDescent="0.3">
      <c r="C1583" s="132"/>
      <c r="D1583" s="133"/>
      <c r="E1583" s="134"/>
      <c r="F1583" s="134"/>
      <c r="G1583" s="135" t="s">
        <v>375</v>
      </c>
      <c r="H1583" s="136"/>
      <c r="I1583" s="137">
        <f>SUM(I1579:I1582)</f>
        <v>26680</v>
      </c>
    </row>
    <row r="1584" spans="2:10" ht="15.95" customHeight="1" x14ac:dyDescent="0.25">
      <c r="C1584" s="116" t="s">
        <v>376</v>
      </c>
      <c r="D1584" s="117" t="s">
        <v>377</v>
      </c>
      <c r="E1584" s="118"/>
      <c r="F1584" s="118"/>
      <c r="G1584" s="165"/>
      <c r="H1584" s="144"/>
      <c r="I1584" s="126"/>
    </row>
    <row r="1585" spans="2:10" ht="15.95" customHeight="1" x14ac:dyDescent="0.25">
      <c r="C1585" s="122"/>
      <c r="D1585" s="117" t="s">
        <v>380</v>
      </c>
      <c r="E1585" s="118"/>
      <c r="F1585" s="123" t="s">
        <v>159</v>
      </c>
      <c r="G1585" s="124">
        <v>32.6</v>
      </c>
      <c r="H1585" s="144">
        <f>VLOOKUP(D1585,Bahan,6,FALSE)</f>
        <v>1880</v>
      </c>
      <c r="I1585" s="126">
        <f>G1585*H1585</f>
        <v>61288</v>
      </c>
    </row>
    <row r="1586" spans="2:10" ht="15.95" customHeight="1" x14ac:dyDescent="0.25">
      <c r="C1586" s="122"/>
      <c r="D1586" s="117" t="s">
        <v>1918</v>
      </c>
      <c r="E1586" s="118"/>
      <c r="F1586" s="123" t="s">
        <v>159</v>
      </c>
      <c r="G1586" s="124">
        <v>76</v>
      </c>
      <c r="H1586" s="144">
        <f>VLOOKUP(D1586,Bahan,6,FALSE)</f>
        <v>250</v>
      </c>
      <c r="I1586" s="126">
        <f>G1586*H1586</f>
        <v>19000</v>
      </c>
    </row>
    <row r="1587" spans="2:10" ht="15.95" customHeight="1" x14ac:dyDescent="0.25">
      <c r="C1587" s="122"/>
      <c r="D1587" s="117" t="s">
        <v>1920</v>
      </c>
      <c r="E1587" s="118"/>
      <c r="F1587" s="123" t="s">
        <v>159</v>
      </c>
      <c r="G1587" s="124">
        <v>102.9</v>
      </c>
      <c r="H1587" s="144">
        <f>VLOOKUP(D1587,Bahan,6,FALSE)</f>
        <v>444.44444444444446</v>
      </c>
      <c r="I1587" s="126">
        <f>G1587*H1587</f>
        <v>45733.333333333336</v>
      </c>
    </row>
    <row r="1588" spans="2:10" ht="15.95" customHeight="1" thickBot="1" x14ac:dyDescent="0.3">
      <c r="C1588" s="122"/>
      <c r="D1588" s="117" t="s">
        <v>532</v>
      </c>
      <c r="E1588" s="118"/>
      <c r="F1588" s="123" t="s">
        <v>636</v>
      </c>
      <c r="G1588" s="124">
        <v>21.5</v>
      </c>
      <c r="H1588" s="144">
        <f>VLOOKUP(D1588,Bahan,6,FALSE)</f>
        <v>75</v>
      </c>
      <c r="I1588" s="126">
        <f>G1588*H1588</f>
        <v>1612.5</v>
      </c>
    </row>
    <row r="1589" spans="2:10" ht="15.95" customHeight="1" thickBot="1" x14ac:dyDescent="0.3">
      <c r="C1589" s="132"/>
      <c r="D1589" s="133"/>
      <c r="E1589" s="134"/>
      <c r="F1589" s="134"/>
      <c r="G1589" s="135" t="s">
        <v>386</v>
      </c>
      <c r="H1589" s="136"/>
      <c r="I1589" s="137">
        <f>SUM(I1585:I1588)</f>
        <v>127633.83333333334</v>
      </c>
    </row>
    <row r="1590" spans="2:10" ht="15.95" customHeight="1" thickBot="1" x14ac:dyDescent="0.3">
      <c r="C1590" s="116" t="s">
        <v>387</v>
      </c>
      <c r="D1590" s="117" t="s">
        <v>388</v>
      </c>
      <c r="E1590" s="118"/>
      <c r="F1590" s="118"/>
      <c r="G1590" s="165"/>
      <c r="H1590" s="144">
        <f>IF(AND(D1590&lt;&gt;"",F1590&lt;&gt;""),IF(C1590="",IF(F1590="OH",VLOOKUP(D1590,[1]UPAH!$B$3:$G$32,7,0),VLOOKUP(D1590,[1]BAHAN!$A$2:$D$3,4,0)),0),0)</f>
        <v>0</v>
      </c>
      <c r="I1590" s="126">
        <f>G1590*H1590</f>
        <v>0</v>
      </c>
    </row>
    <row r="1591" spans="2:10" ht="15.95" customHeight="1" thickBot="1" x14ac:dyDescent="0.3">
      <c r="C1591" s="132"/>
      <c r="D1591" s="133"/>
      <c r="E1591" s="134"/>
      <c r="F1591" s="134"/>
      <c r="G1591" s="135" t="s">
        <v>389</v>
      </c>
      <c r="H1591" s="136"/>
      <c r="I1591" s="137">
        <f>I1590</f>
        <v>0</v>
      </c>
    </row>
    <row r="1592" spans="2:10" ht="15.95" customHeight="1" x14ac:dyDescent="0.25">
      <c r="C1592" s="158" t="s">
        <v>390</v>
      </c>
      <c r="D1592" s="159" t="s">
        <v>391</v>
      </c>
      <c r="E1592" s="160"/>
      <c r="F1592" s="160"/>
      <c r="G1592" s="161"/>
      <c r="H1592" s="162">
        <f>IF(AND(D1592&lt;&gt;"",F1592&lt;&gt;""),IF(C1592="",IF(F1592="OH",VLOOKUP(D1592,[1]UPAH!$B$3:$G$32,7,0),VLOOKUP(D1592,[1]BAHAN!$A$2:$D$3,4,0)),0),0)</f>
        <v>0</v>
      </c>
      <c r="I1592" s="126">
        <f>SUM(I1578:I1591)/2</f>
        <v>154313.83333333334</v>
      </c>
    </row>
    <row r="1593" spans="2:10" ht="15.95" customHeight="1" thickBot="1" x14ac:dyDescent="0.3">
      <c r="C1593" s="147" t="s">
        <v>392</v>
      </c>
      <c r="D1593" s="148" t="s">
        <v>393</v>
      </c>
      <c r="E1593" s="149"/>
      <c r="F1593" s="149"/>
      <c r="G1593" s="164">
        <v>0.1</v>
      </c>
      <c r="H1593" s="151"/>
      <c r="I1593" s="146">
        <f>G1593*I1592</f>
        <v>15431.383333333335</v>
      </c>
    </row>
    <row r="1594" spans="2:10" ht="15.95" customHeight="1" thickBot="1" x14ac:dyDescent="0.3">
      <c r="C1594" s="111" t="s">
        <v>394</v>
      </c>
      <c r="D1594" s="112" t="s">
        <v>395</v>
      </c>
      <c r="E1594" s="134"/>
      <c r="F1594" s="134"/>
      <c r="G1594" s="156"/>
      <c r="H1594" s="136">
        <f>IF(AND(D1594&lt;&gt;"",F1594&lt;&gt;""),IF(C1594="",IF(F1594="OH",VLOOKUP(D1594,[1]UPAH!$B$3:$G$32,7,0),VLOOKUP(D1594,[1]BAHAN!$A$2:$D$3,4,0)),0),0)</f>
        <v>0</v>
      </c>
      <c r="I1594" s="137">
        <f>ROUNDDOWN(I1592+I1593,0)</f>
        <v>169745</v>
      </c>
    </row>
    <row r="1595" spans="2:10" ht="15.95" customHeight="1" x14ac:dyDescent="0.25">
      <c r="C1595" s="109"/>
      <c r="D1595" s="109"/>
      <c r="G1595" s="157"/>
      <c r="H1595" s="166"/>
      <c r="I1595" s="110"/>
    </row>
    <row r="1596" spans="2:10" ht="15.95" customHeight="1" thickBot="1" x14ac:dyDescent="0.3">
      <c r="B1596" s="104" t="s">
        <v>639</v>
      </c>
      <c r="C1596" s="109" t="s">
        <v>640</v>
      </c>
      <c r="G1596" s="157"/>
      <c r="J1596" s="110">
        <f>I1614</f>
        <v>189085</v>
      </c>
    </row>
    <row r="1597" spans="2:10" ht="15.95" customHeight="1" thickBot="1" x14ac:dyDescent="0.3">
      <c r="C1597" s="111" t="s">
        <v>328</v>
      </c>
      <c r="D1597" s="112" t="s">
        <v>359</v>
      </c>
      <c r="E1597" s="113" t="s">
        <v>360</v>
      </c>
      <c r="F1597" s="113" t="s">
        <v>330</v>
      </c>
      <c r="G1597" s="114" t="s">
        <v>361</v>
      </c>
      <c r="H1597" s="112" t="s">
        <v>362</v>
      </c>
      <c r="I1597" s="115" t="s">
        <v>363</v>
      </c>
    </row>
    <row r="1598" spans="2:10" ht="15.95" customHeight="1" x14ac:dyDescent="0.25">
      <c r="C1598" s="116" t="s">
        <v>364</v>
      </c>
      <c r="D1598" s="117" t="s">
        <v>365</v>
      </c>
      <c r="E1598" s="118"/>
      <c r="F1598" s="118"/>
      <c r="G1598" s="165"/>
      <c r="H1598" s="144"/>
      <c r="I1598" s="126"/>
    </row>
    <row r="1599" spans="2:10" ht="15.95" customHeight="1" x14ac:dyDescent="0.25">
      <c r="C1599" s="122"/>
      <c r="D1599" s="117" t="s">
        <v>366</v>
      </c>
      <c r="E1599" s="123" t="s">
        <v>367</v>
      </c>
      <c r="F1599" s="123" t="s">
        <v>368</v>
      </c>
      <c r="G1599" s="124">
        <v>0.19800000000000001</v>
      </c>
      <c r="H1599" s="125">
        <f>VLOOKUP(D1599,Upah,8,FALSE)</f>
        <v>125000</v>
      </c>
      <c r="I1599" s="126">
        <f>G1599*H1599</f>
        <v>24750</v>
      </c>
    </row>
    <row r="1600" spans="2:10" ht="15.95" customHeight="1" x14ac:dyDescent="0.25">
      <c r="C1600" s="122"/>
      <c r="D1600" s="117" t="s">
        <v>413</v>
      </c>
      <c r="E1600" s="123" t="s">
        <v>414</v>
      </c>
      <c r="F1600" s="123" t="s">
        <v>368</v>
      </c>
      <c r="G1600" s="124">
        <v>3.3000000000000002E-2</v>
      </c>
      <c r="H1600" s="125">
        <f>VLOOKUP(D1600,Upah,8,FALSE)</f>
        <v>150000</v>
      </c>
      <c r="I1600" s="126">
        <f>G1600*H1600</f>
        <v>4950</v>
      </c>
    </row>
    <row r="1601" spans="2:10" ht="15.95" customHeight="1" x14ac:dyDescent="0.25">
      <c r="C1601" s="122"/>
      <c r="D1601" s="117" t="s">
        <v>429</v>
      </c>
      <c r="E1601" s="123" t="s">
        <v>372</v>
      </c>
      <c r="F1601" s="123" t="s">
        <v>368</v>
      </c>
      <c r="G1601" s="124">
        <v>3.0000000000000001E-3</v>
      </c>
      <c r="H1601" s="125">
        <f>VLOOKUP(D1601,Upah,8,FALSE)</f>
        <v>165000</v>
      </c>
      <c r="I1601" s="126">
        <f>G1601*H1601</f>
        <v>495</v>
      </c>
    </row>
    <row r="1602" spans="2:10" ht="15.95" customHeight="1" thickBot="1" x14ac:dyDescent="0.3">
      <c r="C1602" s="122"/>
      <c r="D1602" s="117" t="s">
        <v>373</v>
      </c>
      <c r="E1602" s="123" t="s">
        <v>374</v>
      </c>
      <c r="F1602" s="123" t="s">
        <v>368</v>
      </c>
      <c r="G1602" s="124">
        <v>0.01</v>
      </c>
      <c r="H1602" s="125">
        <f>VLOOKUP(D1602,Upah,8,FALSE)</f>
        <v>170000</v>
      </c>
      <c r="I1602" s="126">
        <f>G1602*H1602</f>
        <v>1700</v>
      </c>
    </row>
    <row r="1603" spans="2:10" ht="15.95" customHeight="1" thickBot="1" x14ac:dyDescent="0.3">
      <c r="C1603" s="132"/>
      <c r="D1603" s="133"/>
      <c r="E1603" s="134"/>
      <c r="F1603" s="134"/>
      <c r="G1603" s="135" t="s">
        <v>375</v>
      </c>
      <c r="H1603" s="136"/>
      <c r="I1603" s="137">
        <f>SUM(I1599:I1602)</f>
        <v>31895</v>
      </c>
    </row>
    <row r="1604" spans="2:10" ht="15.95" customHeight="1" x14ac:dyDescent="0.25">
      <c r="C1604" s="116" t="s">
        <v>376</v>
      </c>
      <c r="D1604" s="117" t="s">
        <v>377</v>
      </c>
      <c r="E1604" s="118"/>
      <c r="F1604" s="118"/>
      <c r="G1604" s="165"/>
      <c r="H1604" s="144"/>
      <c r="I1604" s="126"/>
    </row>
    <row r="1605" spans="2:10" ht="15.95" customHeight="1" x14ac:dyDescent="0.25">
      <c r="C1605" s="122"/>
      <c r="D1605" s="117" t="s">
        <v>380</v>
      </c>
      <c r="E1605" s="118"/>
      <c r="F1605" s="123" t="s">
        <v>159</v>
      </c>
      <c r="G1605" s="124">
        <v>32.119999999999997</v>
      </c>
      <c r="H1605" s="144">
        <f>VLOOKUP(D1605,Bahan,6,FALSE)</f>
        <v>1880</v>
      </c>
      <c r="I1605" s="126">
        <f>G1605*H1605</f>
        <v>60385.599999999999</v>
      </c>
    </row>
    <row r="1606" spans="2:10" ht="15.95" customHeight="1" x14ac:dyDescent="0.25">
      <c r="C1606" s="122"/>
      <c r="D1606" s="117" t="s">
        <v>1918</v>
      </c>
      <c r="E1606" s="118"/>
      <c r="F1606" s="123" t="s">
        <v>159</v>
      </c>
      <c r="G1606" s="124">
        <v>91.2</v>
      </c>
      <c r="H1606" s="144">
        <f>VLOOKUP(D1606,Bahan,6,FALSE)</f>
        <v>250</v>
      </c>
      <c r="I1606" s="126">
        <f>G1606*H1606</f>
        <v>22800</v>
      </c>
    </row>
    <row r="1607" spans="2:10" ht="15.95" customHeight="1" x14ac:dyDescent="0.25">
      <c r="C1607" s="122"/>
      <c r="D1607" s="117" t="s">
        <v>1920</v>
      </c>
      <c r="E1607" s="118"/>
      <c r="F1607" s="123" t="s">
        <v>159</v>
      </c>
      <c r="G1607" s="124">
        <v>123.48</v>
      </c>
      <c r="H1607" s="144">
        <f>VLOOKUP(D1607,Bahan,6,FALSE)</f>
        <v>444.44444444444446</v>
      </c>
      <c r="I1607" s="126">
        <f>G1607*H1607</f>
        <v>54880</v>
      </c>
    </row>
    <row r="1608" spans="2:10" ht="15.95" customHeight="1" thickBot="1" x14ac:dyDescent="0.3">
      <c r="C1608" s="122"/>
      <c r="D1608" s="117" t="s">
        <v>532</v>
      </c>
      <c r="E1608" s="118"/>
      <c r="F1608" s="123" t="s">
        <v>636</v>
      </c>
      <c r="G1608" s="124">
        <v>25.8</v>
      </c>
      <c r="H1608" s="144">
        <f>VLOOKUP(D1608,Bahan,6,FALSE)</f>
        <v>75</v>
      </c>
      <c r="I1608" s="126">
        <f>G1608*H1608</f>
        <v>1935</v>
      </c>
    </row>
    <row r="1609" spans="2:10" ht="15.95" customHeight="1" thickBot="1" x14ac:dyDescent="0.3">
      <c r="C1609" s="132"/>
      <c r="D1609" s="133"/>
      <c r="E1609" s="134"/>
      <c r="F1609" s="134"/>
      <c r="G1609" s="135" t="s">
        <v>386</v>
      </c>
      <c r="H1609" s="136"/>
      <c r="I1609" s="137">
        <f>SUM(I1605:I1608)</f>
        <v>140000.6</v>
      </c>
    </row>
    <row r="1610" spans="2:10" ht="15.95" customHeight="1" thickBot="1" x14ac:dyDescent="0.3">
      <c r="C1610" s="116" t="s">
        <v>387</v>
      </c>
      <c r="D1610" s="117" t="s">
        <v>388</v>
      </c>
      <c r="E1610" s="118"/>
      <c r="F1610" s="118"/>
      <c r="G1610" s="165"/>
      <c r="H1610" s="144">
        <f>IF(AND(D1610&lt;&gt;"",F1610&lt;&gt;""),IF(C1610="",IF(F1610="OH",VLOOKUP(D1610,[1]UPAH!$B$3:$G$32,7,0),VLOOKUP(D1610,[1]BAHAN!$A$2:$D$3,4,0)),0),0)</f>
        <v>0</v>
      </c>
      <c r="I1610" s="126">
        <f>G1610*H1610</f>
        <v>0</v>
      </c>
    </row>
    <row r="1611" spans="2:10" ht="15.95" customHeight="1" thickBot="1" x14ac:dyDescent="0.3">
      <c r="C1611" s="132"/>
      <c r="D1611" s="133"/>
      <c r="E1611" s="134"/>
      <c r="F1611" s="134"/>
      <c r="G1611" s="135" t="s">
        <v>389</v>
      </c>
      <c r="H1611" s="136"/>
      <c r="I1611" s="137">
        <f>I1610</f>
        <v>0</v>
      </c>
    </row>
    <row r="1612" spans="2:10" ht="15.95" customHeight="1" x14ac:dyDescent="0.25">
      <c r="C1612" s="158" t="s">
        <v>390</v>
      </c>
      <c r="D1612" s="159" t="s">
        <v>391</v>
      </c>
      <c r="E1612" s="160"/>
      <c r="F1612" s="160"/>
      <c r="G1612" s="161"/>
      <c r="H1612" s="162">
        <f>IF(AND(D1612&lt;&gt;"",F1612&lt;&gt;""),IF(C1612="",IF(F1612="OH",VLOOKUP(D1612,[1]UPAH!$B$3:$G$32,7,0),VLOOKUP(D1612,[1]BAHAN!$A$2:$D$3,4,0)),0),0)</f>
        <v>0</v>
      </c>
      <c r="I1612" s="126">
        <f>SUM(I1598:I1611)/2</f>
        <v>171895.6</v>
      </c>
    </row>
    <row r="1613" spans="2:10" ht="15.95" customHeight="1" thickBot="1" x14ac:dyDescent="0.3">
      <c r="C1613" s="147" t="s">
        <v>392</v>
      </c>
      <c r="D1613" s="148" t="s">
        <v>393</v>
      </c>
      <c r="E1613" s="149"/>
      <c r="F1613" s="149"/>
      <c r="G1613" s="164">
        <v>0.1</v>
      </c>
      <c r="H1613" s="151"/>
      <c r="I1613" s="146">
        <f>G1613*I1612</f>
        <v>17189.560000000001</v>
      </c>
    </row>
    <row r="1614" spans="2:10" ht="15.95" customHeight="1" thickBot="1" x14ac:dyDescent="0.3">
      <c r="C1614" s="111" t="s">
        <v>394</v>
      </c>
      <c r="D1614" s="112" t="s">
        <v>395</v>
      </c>
      <c r="E1614" s="134"/>
      <c r="F1614" s="134"/>
      <c r="G1614" s="156"/>
      <c r="H1614" s="136">
        <f>IF(AND(D1614&lt;&gt;"",F1614&lt;&gt;""),IF(C1614="",IF(F1614="OH",VLOOKUP(D1614,[1]UPAH!$B$3:$G$32,7,0),VLOOKUP(D1614,[1]BAHAN!$A$2:$D$3,4,0)),0),0)</f>
        <v>0</v>
      </c>
      <c r="I1614" s="137">
        <f>ROUNDDOWN(I1612+I1613,0)</f>
        <v>189085</v>
      </c>
    </row>
    <row r="1615" spans="2:10" ht="15.95" customHeight="1" x14ac:dyDescent="0.25">
      <c r="C1615" s="109"/>
      <c r="D1615" s="109"/>
      <c r="G1615" s="157"/>
      <c r="H1615" s="166"/>
      <c r="I1615" s="110"/>
    </row>
    <row r="1616" spans="2:10" ht="15.95" customHeight="1" thickBot="1" x14ac:dyDescent="0.3">
      <c r="B1616" s="104" t="s">
        <v>641</v>
      </c>
      <c r="C1616" s="109" t="s">
        <v>642</v>
      </c>
      <c r="G1616" s="157"/>
      <c r="J1616" s="110">
        <f>I1634</f>
        <v>254617</v>
      </c>
    </row>
    <row r="1617" spans="3:9" ht="15.95" customHeight="1" thickBot="1" x14ac:dyDescent="0.3">
      <c r="C1617" s="111" t="s">
        <v>328</v>
      </c>
      <c r="D1617" s="112" t="s">
        <v>359</v>
      </c>
      <c r="E1617" s="113" t="s">
        <v>360</v>
      </c>
      <c r="F1617" s="113" t="s">
        <v>330</v>
      </c>
      <c r="G1617" s="114" t="s">
        <v>361</v>
      </c>
      <c r="H1617" s="112" t="s">
        <v>362</v>
      </c>
      <c r="I1617" s="115" t="s">
        <v>363</v>
      </c>
    </row>
    <row r="1618" spans="3:9" ht="15.95" customHeight="1" x14ac:dyDescent="0.25">
      <c r="C1618" s="116" t="s">
        <v>364</v>
      </c>
      <c r="D1618" s="117" t="s">
        <v>365</v>
      </c>
      <c r="E1618" s="118"/>
      <c r="F1618" s="118"/>
      <c r="G1618" s="165"/>
      <c r="H1618" s="144"/>
      <c r="I1618" s="126"/>
    </row>
    <row r="1619" spans="3:9" ht="15.95" customHeight="1" x14ac:dyDescent="0.25">
      <c r="C1619" s="122"/>
      <c r="D1619" s="117" t="s">
        <v>366</v>
      </c>
      <c r="E1619" s="123" t="s">
        <v>367</v>
      </c>
      <c r="F1619" s="123" t="s">
        <v>368</v>
      </c>
      <c r="G1619" s="124">
        <v>0.248</v>
      </c>
      <c r="H1619" s="125">
        <f>VLOOKUP(D1619,Upah,8,FALSE)</f>
        <v>125000</v>
      </c>
      <c r="I1619" s="126">
        <f>G1619*H1619</f>
        <v>31000</v>
      </c>
    </row>
    <row r="1620" spans="3:9" ht="15.95" customHeight="1" x14ac:dyDescent="0.25">
      <c r="C1620" s="122"/>
      <c r="D1620" s="117" t="s">
        <v>413</v>
      </c>
      <c r="E1620" s="123" t="s">
        <v>414</v>
      </c>
      <c r="F1620" s="123" t="s">
        <v>368</v>
      </c>
      <c r="G1620" s="124">
        <v>4.1000000000000002E-2</v>
      </c>
      <c r="H1620" s="125">
        <f>VLOOKUP(D1620,Upah,8,FALSE)</f>
        <v>150000</v>
      </c>
      <c r="I1620" s="126">
        <f>G1620*H1620</f>
        <v>6150</v>
      </c>
    </row>
    <row r="1621" spans="3:9" ht="15.95" customHeight="1" x14ac:dyDescent="0.25">
      <c r="C1621" s="122"/>
      <c r="D1621" s="117" t="s">
        <v>429</v>
      </c>
      <c r="E1621" s="123" t="s">
        <v>372</v>
      </c>
      <c r="F1621" s="123" t="s">
        <v>368</v>
      </c>
      <c r="G1621" s="124">
        <v>4.0000000000000001E-3</v>
      </c>
      <c r="H1621" s="125">
        <f>VLOOKUP(D1621,Upah,8,FALSE)</f>
        <v>165000</v>
      </c>
      <c r="I1621" s="126">
        <f>G1621*H1621</f>
        <v>660</v>
      </c>
    </row>
    <row r="1622" spans="3:9" ht="15.95" customHeight="1" thickBot="1" x14ac:dyDescent="0.3">
      <c r="C1622" s="122"/>
      <c r="D1622" s="117" t="s">
        <v>373</v>
      </c>
      <c r="E1622" s="123" t="s">
        <v>374</v>
      </c>
      <c r="F1622" s="123" t="s">
        <v>368</v>
      </c>
      <c r="G1622" s="124">
        <v>1.2999999999999999E-2</v>
      </c>
      <c r="H1622" s="125">
        <f>VLOOKUP(D1622,Upah,8,FALSE)</f>
        <v>170000</v>
      </c>
      <c r="I1622" s="126">
        <f>G1622*H1622</f>
        <v>2210</v>
      </c>
    </row>
    <row r="1623" spans="3:9" ht="15.95" customHeight="1" thickBot="1" x14ac:dyDescent="0.3">
      <c r="C1623" s="132"/>
      <c r="D1623" s="133"/>
      <c r="E1623" s="134"/>
      <c r="F1623" s="134"/>
      <c r="G1623" s="135" t="s">
        <v>375</v>
      </c>
      <c r="H1623" s="136"/>
      <c r="I1623" s="137">
        <f>SUM(I1619:I1622)</f>
        <v>40020</v>
      </c>
    </row>
    <row r="1624" spans="3:9" ht="15.95" customHeight="1" x14ac:dyDescent="0.25">
      <c r="C1624" s="116" t="s">
        <v>376</v>
      </c>
      <c r="D1624" s="117" t="s">
        <v>377</v>
      </c>
      <c r="E1624" s="118"/>
      <c r="F1624" s="118"/>
      <c r="G1624" s="165"/>
      <c r="H1624" s="144"/>
      <c r="I1624" s="126"/>
    </row>
    <row r="1625" spans="3:9" ht="15.95" customHeight="1" x14ac:dyDescent="0.25">
      <c r="C1625" s="122"/>
      <c r="D1625" s="117" t="s">
        <v>380</v>
      </c>
      <c r="E1625" s="118"/>
      <c r="F1625" s="123" t="s">
        <v>159</v>
      </c>
      <c r="G1625" s="124">
        <v>48.9</v>
      </c>
      <c r="H1625" s="144">
        <f>VLOOKUP(D1625,Bahan,6,FALSE)</f>
        <v>1880</v>
      </c>
      <c r="I1625" s="126">
        <f>G1625*H1625</f>
        <v>91932</v>
      </c>
    </row>
    <row r="1626" spans="3:9" ht="15.95" customHeight="1" x14ac:dyDescent="0.25">
      <c r="C1626" s="122"/>
      <c r="D1626" s="117" t="s">
        <v>1918</v>
      </c>
      <c r="E1626" s="118"/>
      <c r="F1626" s="123" t="s">
        <v>159</v>
      </c>
      <c r="G1626" s="124">
        <v>114</v>
      </c>
      <c r="H1626" s="144">
        <f>VLOOKUP(D1626,Bahan,6,FALSE)</f>
        <v>250</v>
      </c>
      <c r="I1626" s="126">
        <f>G1626*H1626</f>
        <v>28500</v>
      </c>
    </row>
    <row r="1627" spans="3:9" ht="15.95" customHeight="1" x14ac:dyDescent="0.25">
      <c r="C1627" s="122"/>
      <c r="D1627" s="117" t="s">
        <v>1920</v>
      </c>
      <c r="E1627" s="118"/>
      <c r="F1627" s="123" t="s">
        <v>159</v>
      </c>
      <c r="G1627" s="124">
        <v>154.35</v>
      </c>
      <c r="H1627" s="144">
        <f>VLOOKUP(D1627,Bahan,6,FALSE)</f>
        <v>444.44444444444446</v>
      </c>
      <c r="I1627" s="126">
        <f>G1627*H1627</f>
        <v>68600</v>
      </c>
    </row>
    <row r="1628" spans="3:9" ht="15.95" customHeight="1" thickBot="1" x14ac:dyDescent="0.3">
      <c r="C1628" s="122"/>
      <c r="D1628" s="117" t="s">
        <v>532</v>
      </c>
      <c r="E1628" s="118"/>
      <c r="F1628" s="123" t="s">
        <v>636</v>
      </c>
      <c r="G1628" s="124">
        <v>32.25</v>
      </c>
      <c r="H1628" s="144">
        <f>VLOOKUP(D1628,Bahan,6,FALSE)</f>
        <v>75</v>
      </c>
      <c r="I1628" s="126">
        <f>G1628*H1628</f>
        <v>2418.75</v>
      </c>
    </row>
    <row r="1629" spans="3:9" ht="15.95" customHeight="1" thickBot="1" x14ac:dyDescent="0.3">
      <c r="C1629" s="132"/>
      <c r="D1629" s="133"/>
      <c r="E1629" s="134"/>
      <c r="F1629" s="134"/>
      <c r="G1629" s="135" t="s">
        <v>386</v>
      </c>
      <c r="H1629" s="136"/>
      <c r="I1629" s="137">
        <f>SUM(I1625:I1628)</f>
        <v>191450.75</v>
      </c>
    </row>
    <row r="1630" spans="3:9" ht="15.95" customHeight="1" thickBot="1" x14ac:dyDescent="0.3">
      <c r="C1630" s="116" t="s">
        <v>387</v>
      </c>
      <c r="D1630" s="117" t="s">
        <v>388</v>
      </c>
      <c r="E1630" s="118"/>
      <c r="F1630" s="118"/>
      <c r="G1630" s="165"/>
      <c r="H1630" s="144">
        <f>IF(AND(D1630&lt;&gt;"",F1630&lt;&gt;""),IF(C1630="",IF(F1630="OH",VLOOKUP(D1630,[1]UPAH!$B$3:$G$32,7,0),VLOOKUP(D1630,[1]BAHAN!$A$2:$D$3,4,0)),0),0)</f>
        <v>0</v>
      </c>
      <c r="I1630" s="126">
        <f>G1630*H1630</f>
        <v>0</v>
      </c>
    </row>
    <row r="1631" spans="3:9" ht="15.95" customHeight="1" thickBot="1" x14ac:dyDescent="0.3">
      <c r="C1631" s="132"/>
      <c r="D1631" s="133"/>
      <c r="E1631" s="134"/>
      <c r="F1631" s="134"/>
      <c r="G1631" s="135" t="s">
        <v>389</v>
      </c>
      <c r="H1631" s="136"/>
      <c r="I1631" s="137">
        <f>I1630</f>
        <v>0</v>
      </c>
    </row>
    <row r="1632" spans="3:9" ht="15.95" customHeight="1" x14ac:dyDescent="0.25">
      <c r="C1632" s="158" t="s">
        <v>390</v>
      </c>
      <c r="D1632" s="159" t="s">
        <v>391</v>
      </c>
      <c r="E1632" s="160"/>
      <c r="F1632" s="160"/>
      <c r="G1632" s="161"/>
      <c r="H1632" s="162">
        <f>IF(AND(D1632&lt;&gt;"",F1632&lt;&gt;""),IF(C1632="",IF(F1632="OH",VLOOKUP(D1632,[1]UPAH!$B$3:$G$32,7,0),VLOOKUP(D1632,[1]BAHAN!$A$2:$D$3,4,0)),0),0)</f>
        <v>0</v>
      </c>
      <c r="I1632" s="126">
        <f>SUM(I1618:I1631)/2</f>
        <v>231470.75</v>
      </c>
    </row>
    <row r="1633" spans="2:10" ht="15.95" customHeight="1" thickBot="1" x14ac:dyDescent="0.3">
      <c r="C1633" s="147" t="s">
        <v>392</v>
      </c>
      <c r="D1633" s="148" t="s">
        <v>393</v>
      </c>
      <c r="E1633" s="149"/>
      <c r="F1633" s="149"/>
      <c r="G1633" s="164">
        <v>0.1</v>
      </c>
      <c r="H1633" s="151"/>
      <c r="I1633" s="146">
        <f>G1633*I1632</f>
        <v>23147.075000000001</v>
      </c>
    </row>
    <row r="1634" spans="2:10" ht="15.95" customHeight="1" thickBot="1" x14ac:dyDescent="0.3">
      <c r="C1634" s="111" t="s">
        <v>394</v>
      </c>
      <c r="D1634" s="112" t="s">
        <v>395</v>
      </c>
      <c r="E1634" s="134"/>
      <c r="F1634" s="134"/>
      <c r="G1634" s="156"/>
      <c r="H1634" s="136">
        <f>IF(AND(D1634&lt;&gt;"",F1634&lt;&gt;""),IF(C1634="",IF(F1634="OH",VLOOKUP(D1634,[1]UPAH!$B$3:$G$32,7,0),VLOOKUP(D1634,[1]BAHAN!$A$2:$D$3,4,0)),0),0)</f>
        <v>0</v>
      </c>
      <c r="I1634" s="137">
        <f>ROUNDDOWN(I1632+I1633,0)</f>
        <v>254617</v>
      </c>
    </row>
    <row r="1635" spans="2:10" ht="15.95" customHeight="1" x14ac:dyDescent="0.25">
      <c r="C1635" s="109"/>
      <c r="D1635" s="109"/>
      <c r="G1635" s="157"/>
      <c r="H1635" s="166"/>
      <c r="I1635" s="110"/>
    </row>
    <row r="1636" spans="2:10" ht="15.95" customHeight="1" thickBot="1" x14ac:dyDescent="0.3">
      <c r="B1636" s="104" t="s">
        <v>643</v>
      </c>
      <c r="C1636" s="109" t="s">
        <v>644</v>
      </c>
      <c r="G1636" s="157"/>
      <c r="J1636" s="110">
        <f>I1656</f>
        <v>582125</v>
      </c>
    </row>
    <row r="1637" spans="2:10" ht="15.95" customHeight="1" thickBot="1" x14ac:dyDescent="0.3">
      <c r="C1637" s="111" t="s">
        <v>328</v>
      </c>
      <c r="D1637" s="112" t="s">
        <v>359</v>
      </c>
      <c r="E1637" s="113" t="s">
        <v>360</v>
      </c>
      <c r="F1637" s="113" t="s">
        <v>330</v>
      </c>
      <c r="G1637" s="114" t="s">
        <v>361</v>
      </c>
      <c r="H1637" s="112" t="s">
        <v>362</v>
      </c>
      <c r="I1637" s="115" t="s">
        <v>363</v>
      </c>
    </row>
    <row r="1638" spans="2:10" ht="15.95" customHeight="1" x14ac:dyDescent="0.25">
      <c r="C1638" s="116" t="s">
        <v>364</v>
      </c>
      <c r="D1638" s="117" t="s">
        <v>365</v>
      </c>
      <c r="E1638" s="118"/>
      <c r="F1638" s="118"/>
      <c r="G1638" s="165"/>
      <c r="H1638" s="144"/>
      <c r="I1638" s="126"/>
    </row>
    <row r="1639" spans="2:10" ht="15.95" customHeight="1" x14ac:dyDescent="0.25">
      <c r="C1639" s="122"/>
      <c r="D1639" s="117" t="s">
        <v>366</v>
      </c>
      <c r="E1639" s="123" t="s">
        <v>367</v>
      </c>
      <c r="F1639" s="123" t="s">
        <v>368</v>
      </c>
      <c r="G1639" s="124">
        <v>7.0000000000000001E-3</v>
      </c>
      <c r="H1639" s="125">
        <f>VLOOKUP(D1639,Upah,8,FALSE)</f>
        <v>125000</v>
      </c>
      <c r="I1639" s="126">
        <f>G1639*H1639</f>
        <v>875</v>
      </c>
    </row>
    <row r="1640" spans="2:10" ht="15.95" customHeight="1" x14ac:dyDescent="0.25">
      <c r="C1640" s="122"/>
      <c r="D1640" s="117" t="s">
        <v>413</v>
      </c>
      <c r="E1640" s="123" t="s">
        <v>414</v>
      </c>
      <c r="F1640" s="123" t="s">
        <v>368</v>
      </c>
      <c r="G1640" s="124">
        <v>7.5999999999999998E-2</v>
      </c>
      <c r="H1640" s="125">
        <f>VLOOKUP(D1640,Upah,8,FALSE)</f>
        <v>150000</v>
      </c>
      <c r="I1640" s="126">
        <f>G1640*H1640</f>
        <v>11400</v>
      </c>
    </row>
    <row r="1641" spans="2:10" ht="15.95" customHeight="1" x14ac:dyDescent="0.25">
      <c r="C1641" s="122"/>
      <c r="D1641" s="117" t="s">
        <v>429</v>
      </c>
      <c r="E1641" s="123" t="s">
        <v>372</v>
      </c>
      <c r="F1641" s="123" t="s">
        <v>368</v>
      </c>
      <c r="G1641" s="124">
        <v>8.0000000000000002E-3</v>
      </c>
      <c r="H1641" s="125">
        <f>VLOOKUP(D1641,Upah,8,FALSE)</f>
        <v>165000</v>
      </c>
      <c r="I1641" s="126">
        <f>G1641*H1641</f>
        <v>1320</v>
      </c>
    </row>
    <row r="1642" spans="2:10" ht="15.95" customHeight="1" thickBot="1" x14ac:dyDescent="0.3">
      <c r="C1642" s="122"/>
      <c r="D1642" s="117" t="s">
        <v>373</v>
      </c>
      <c r="E1642" s="123" t="s">
        <v>374</v>
      </c>
      <c r="F1642" s="123" t="s">
        <v>368</v>
      </c>
      <c r="G1642" s="124">
        <v>1E-3</v>
      </c>
      <c r="H1642" s="125">
        <f>VLOOKUP(D1642,Upah,8,FALSE)</f>
        <v>170000</v>
      </c>
      <c r="I1642" s="126">
        <f>G1642*H1642</f>
        <v>170</v>
      </c>
    </row>
    <row r="1643" spans="2:10" ht="15.95" customHeight="1" thickBot="1" x14ac:dyDescent="0.3">
      <c r="C1643" s="132"/>
      <c r="D1643" s="133"/>
      <c r="E1643" s="134"/>
      <c r="F1643" s="134"/>
      <c r="G1643" s="135" t="s">
        <v>375</v>
      </c>
      <c r="H1643" s="136"/>
      <c r="I1643" s="137">
        <f>SUM(I1639:I1642)</f>
        <v>13765</v>
      </c>
    </row>
    <row r="1644" spans="2:10" ht="15.95" customHeight="1" x14ac:dyDescent="0.25">
      <c r="C1644" s="116" t="s">
        <v>376</v>
      </c>
      <c r="D1644" s="117" t="s">
        <v>377</v>
      </c>
      <c r="E1644" s="118"/>
      <c r="F1644" s="118"/>
      <c r="G1644" s="165"/>
      <c r="H1644" s="144"/>
      <c r="I1644" s="126"/>
    </row>
    <row r="1645" spans="2:10" ht="15.95" customHeight="1" x14ac:dyDescent="0.25">
      <c r="C1645" s="122"/>
      <c r="D1645" s="117" t="s">
        <v>645</v>
      </c>
      <c r="E1645" s="118"/>
      <c r="F1645" s="123" t="s">
        <v>158</v>
      </c>
      <c r="G1645" s="124">
        <v>0.08</v>
      </c>
      <c r="H1645" s="144">
        <f t="shared" ref="H1645:H1650" si="61">VLOOKUP(D1645,Bahan,6,FALSE)</f>
        <v>945000</v>
      </c>
      <c r="I1645" s="126">
        <f t="shared" ref="I1645:I1650" si="62">G1645*H1645</f>
        <v>75600</v>
      </c>
    </row>
    <row r="1646" spans="2:10" ht="15.95" customHeight="1" x14ac:dyDescent="0.25">
      <c r="C1646" s="122"/>
      <c r="D1646" s="117" t="s">
        <v>646</v>
      </c>
      <c r="E1646" s="118"/>
      <c r="F1646" s="123" t="s">
        <v>159</v>
      </c>
      <c r="G1646" s="124">
        <v>9.3940000000000001</v>
      </c>
      <c r="H1646" s="144">
        <f t="shared" si="61"/>
        <v>37000</v>
      </c>
      <c r="I1646" s="126">
        <f t="shared" si="62"/>
        <v>347578</v>
      </c>
    </row>
    <row r="1647" spans="2:10" ht="15.95" customHeight="1" x14ac:dyDescent="0.25">
      <c r="C1647" s="122"/>
      <c r="D1647" s="117" t="s">
        <v>647</v>
      </c>
      <c r="E1647" s="118"/>
      <c r="F1647" s="123" t="s">
        <v>158</v>
      </c>
      <c r="G1647" s="124">
        <v>5.0000000000000001E-3</v>
      </c>
      <c r="H1647" s="144">
        <f t="shared" si="61"/>
        <v>4375000</v>
      </c>
      <c r="I1647" s="126">
        <f t="shared" si="62"/>
        <v>21875</v>
      </c>
    </row>
    <row r="1648" spans="2:10" ht="15.95" customHeight="1" x14ac:dyDescent="0.25">
      <c r="C1648" s="122"/>
      <c r="D1648" s="117" t="s">
        <v>648</v>
      </c>
      <c r="E1648" s="118"/>
      <c r="F1648" s="123" t="s">
        <v>399</v>
      </c>
      <c r="G1648" s="124">
        <v>0.08</v>
      </c>
      <c r="H1648" s="144">
        <f t="shared" si="61"/>
        <v>255000</v>
      </c>
      <c r="I1648" s="126">
        <f t="shared" si="62"/>
        <v>20400</v>
      </c>
    </row>
    <row r="1649" spans="2:10" ht="15.95" customHeight="1" x14ac:dyDescent="0.25">
      <c r="C1649" s="122"/>
      <c r="D1649" s="117" t="s">
        <v>588</v>
      </c>
      <c r="E1649" s="118"/>
      <c r="F1649" s="123" t="s">
        <v>636</v>
      </c>
      <c r="G1649" s="124">
        <v>0.2</v>
      </c>
      <c r="H1649" s="144">
        <f t="shared" si="61"/>
        <v>7310</v>
      </c>
      <c r="I1649" s="126">
        <f t="shared" si="62"/>
        <v>1462</v>
      </c>
    </row>
    <row r="1650" spans="2:10" ht="15.95" customHeight="1" thickBot="1" x14ac:dyDescent="0.3">
      <c r="C1650" s="122"/>
      <c r="D1650" s="117" t="s">
        <v>649</v>
      </c>
      <c r="E1650" s="118"/>
      <c r="F1650" s="123" t="s">
        <v>418</v>
      </c>
      <c r="G1650" s="124">
        <v>3.8820000000000001</v>
      </c>
      <c r="H1650" s="144">
        <f t="shared" si="61"/>
        <v>12500</v>
      </c>
      <c r="I1650" s="126">
        <f t="shared" si="62"/>
        <v>48525</v>
      </c>
    </row>
    <row r="1651" spans="2:10" ht="15.95" customHeight="1" thickBot="1" x14ac:dyDescent="0.3">
      <c r="C1651" s="132"/>
      <c r="D1651" s="133"/>
      <c r="E1651" s="134"/>
      <c r="F1651" s="134"/>
      <c r="G1651" s="135" t="s">
        <v>386</v>
      </c>
      <c r="H1651" s="136"/>
      <c r="I1651" s="137">
        <f>SUM(I1645:I1650)</f>
        <v>515440</v>
      </c>
    </row>
    <row r="1652" spans="2:10" ht="15.95" customHeight="1" thickBot="1" x14ac:dyDescent="0.3">
      <c r="C1652" s="116" t="s">
        <v>387</v>
      </c>
      <c r="D1652" s="117" t="s">
        <v>388</v>
      </c>
      <c r="E1652" s="118"/>
      <c r="F1652" s="118"/>
      <c r="G1652" s="165"/>
      <c r="H1652" s="144">
        <f>IF(AND(D1652&lt;&gt;"",F1652&lt;&gt;""),IF(C1652="",IF(F1652="OH",VLOOKUP(D1652,[1]UPAH!$B$3:$G$32,7,0),VLOOKUP(D1652,[1]BAHAN!$A$2:$D$3,4,0)),0),0)</f>
        <v>0</v>
      </c>
      <c r="I1652" s="126">
        <f>G1652*H1652</f>
        <v>0</v>
      </c>
    </row>
    <row r="1653" spans="2:10" ht="15.95" customHeight="1" thickBot="1" x14ac:dyDescent="0.3">
      <c r="C1653" s="132"/>
      <c r="D1653" s="133"/>
      <c r="E1653" s="134"/>
      <c r="F1653" s="134"/>
      <c r="G1653" s="135" t="s">
        <v>389</v>
      </c>
      <c r="H1653" s="136"/>
      <c r="I1653" s="137">
        <f>I1652</f>
        <v>0</v>
      </c>
    </row>
    <row r="1654" spans="2:10" ht="15.95" customHeight="1" x14ac:dyDescent="0.25">
      <c r="C1654" s="158" t="s">
        <v>390</v>
      </c>
      <c r="D1654" s="159" t="s">
        <v>391</v>
      </c>
      <c r="E1654" s="160"/>
      <c r="F1654" s="160"/>
      <c r="G1654" s="161"/>
      <c r="H1654" s="162">
        <f>IF(AND(D1654&lt;&gt;"",F1654&lt;&gt;""),IF(C1654="",IF(F1654="OH",VLOOKUP(D1654,[1]UPAH!$B$3:$G$32,7,0),VLOOKUP(D1654,[1]BAHAN!$A$2:$D$3,4,0)),0),0)</f>
        <v>0</v>
      </c>
      <c r="I1654" s="126">
        <f>SUM(I1638:I1653)/2</f>
        <v>529205</v>
      </c>
    </row>
    <row r="1655" spans="2:10" ht="15.95" customHeight="1" thickBot="1" x14ac:dyDescent="0.3">
      <c r="C1655" s="147" t="s">
        <v>392</v>
      </c>
      <c r="D1655" s="148" t="s">
        <v>393</v>
      </c>
      <c r="E1655" s="149"/>
      <c r="F1655" s="149"/>
      <c r="G1655" s="164">
        <v>0.1</v>
      </c>
      <c r="H1655" s="151"/>
      <c r="I1655" s="146">
        <f>G1655*I1654</f>
        <v>52920.5</v>
      </c>
    </row>
    <row r="1656" spans="2:10" ht="15.95" customHeight="1" thickBot="1" x14ac:dyDescent="0.3">
      <c r="C1656" s="111" t="s">
        <v>394</v>
      </c>
      <c r="D1656" s="112" t="s">
        <v>395</v>
      </c>
      <c r="E1656" s="134"/>
      <c r="F1656" s="134"/>
      <c r="G1656" s="156"/>
      <c r="H1656" s="136">
        <f>IF(AND(D1656&lt;&gt;"",F1656&lt;&gt;""),IF(C1656="",IF(F1656="OH",VLOOKUP(D1656,[1]UPAH!$B$3:$G$32,7,0),VLOOKUP(D1656,[1]BAHAN!$A$2:$D$3,4,0)),0),0)</f>
        <v>0</v>
      </c>
      <c r="I1656" s="137">
        <f>ROUNDDOWN(I1654+I1655,0)</f>
        <v>582125</v>
      </c>
    </row>
    <row r="1657" spans="2:10" ht="15.95" customHeight="1" x14ac:dyDescent="0.25">
      <c r="C1657" s="109"/>
      <c r="D1657" s="109"/>
      <c r="G1657" s="157"/>
      <c r="H1657" s="166"/>
      <c r="I1657" s="110"/>
    </row>
    <row r="1658" spans="2:10" ht="15.95" customHeight="1" thickBot="1" x14ac:dyDescent="0.3">
      <c r="B1658" s="104" t="s">
        <v>650</v>
      </c>
      <c r="C1658" s="109" t="s">
        <v>651</v>
      </c>
      <c r="G1658" s="157"/>
      <c r="J1658" s="110">
        <f>I1676</f>
        <v>54993</v>
      </c>
    </row>
    <row r="1659" spans="2:10" ht="15.95" customHeight="1" thickBot="1" x14ac:dyDescent="0.3">
      <c r="C1659" s="111" t="s">
        <v>328</v>
      </c>
      <c r="D1659" s="112" t="s">
        <v>359</v>
      </c>
      <c r="E1659" s="113" t="s">
        <v>360</v>
      </c>
      <c r="F1659" s="113" t="s">
        <v>330</v>
      </c>
      <c r="G1659" s="114" t="s">
        <v>361</v>
      </c>
      <c r="H1659" s="112" t="s">
        <v>362</v>
      </c>
      <c r="I1659" s="115" t="s">
        <v>363</v>
      </c>
    </row>
    <row r="1660" spans="2:10" ht="15.95" customHeight="1" x14ac:dyDescent="0.25">
      <c r="C1660" s="116" t="s">
        <v>364</v>
      </c>
      <c r="D1660" s="117" t="s">
        <v>365</v>
      </c>
      <c r="E1660" s="118"/>
      <c r="F1660" s="118"/>
      <c r="G1660" s="165"/>
      <c r="H1660" s="144"/>
      <c r="I1660" s="126"/>
    </row>
    <row r="1661" spans="2:10" ht="15.95" customHeight="1" x14ac:dyDescent="0.25">
      <c r="C1661" s="122"/>
      <c r="D1661" s="117" t="s">
        <v>366</v>
      </c>
      <c r="E1661" s="123" t="s">
        <v>367</v>
      </c>
      <c r="F1661" s="123" t="s">
        <v>368</v>
      </c>
      <c r="G1661" s="124">
        <v>4.0000000000000001E-3</v>
      </c>
      <c r="H1661" s="125">
        <f>VLOOKUP(D1661,Upah,8,FALSE)</f>
        <v>125000</v>
      </c>
      <c r="I1661" s="126">
        <f>G1661*H1661</f>
        <v>500</v>
      </c>
    </row>
    <row r="1662" spans="2:10" ht="15.95" customHeight="1" x14ac:dyDescent="0.25">
      <c r="C1662" s="122"/>
      <c r="D1662" s="117" t="s">
        <v>413</v>
      </c>
      <c r="E1662" s="123" t="s">
        <v>414</v>
      </c>
      <c r="F1662" s="123" t="s">
        <v>368</v>
      </c>
      <c r="G1662" s="124">
        <v>3.7999999999999999E-2</v>
      </c>
      <c r="H1662" s="125">
        <f>VLOOKUP(D1662,Upah,8,FALSE)</f>
        <v>150000</v>
      </c>
      <c r="I1662" s="126">
        <f>G1662*H1662</f>
        <v>5700</v>
      </c>
    </row>
    <row r="1663" spans="2:10" ht="15.95" customHeight="1" x14ac:dyDescent="0.25">
      <c r="C1663" s="122"/>
      <c r="D1663" s="117" t="s">
        <v>429</v>
      </c>
      <c r="E1663" s="123" t="s">
        <v>372</v>
      </c>
      <c r="F1663" s="123" t="s">
        <v>368</v>
      </c>
      <c r="G1663" s="124">
        <v>4.0000000000000001E-3</v>
      </c>
      <c r="H1663" s="125">
        <f>VLOOKUP(D1663,Upah,8,FALSE)</f>
        <v>165000</v>
      </c>
      <c r="I1663" s="126">
        <f>G1663*H1663</f>
        <v>660</v>
      </c>
    </row>
    <row r="1664" spans="2:10" ht="15.95" customHeight="1" thickBot="1" x14ac:dyDescent="0.3">
      <c r="C1664" s="122"/>
      <c r="D1664" s="117" t="s">
        <v>373</v>
      </c>
      <c r="E1664" s="123" t="s">
        <v>374</v>
      </c>
      <c r="F1664" s="123" t="s">
        <v>368</v>
      </c>
      <c r="G1664" s="124">
        <v>1E-3</v>
      </c>
      <c r="H1664" s="125">
        <f>VLOOKUP(D1664,Upah,8,FALSE)</f>
        <v>170000</v>
      </c>
      <c r="I1664" s="126">
        <f>G1664*H1664</f>
        <v>170</v>
      </c>
    </row>
    <row r="1665" spans="2:10" ht="15.95" customHeight="1" thickBot="1" x14ac:dyDescent="0.3">
      <c r="C1665" s="132"/>
      <c r="D1665" s="133"/>
      <c r="E1665" s="134"/>
      <c r="F1665" s="134"/>
      <c r="G1665" s="135" t="s">
        <v>375</v>
      </c>
      <c r="H1665" s="136"/>
      <c r="I1665" s="137">
        <f>SUM(I1661:I1664)</f>
        <v>7030</v>
      </c>
    </row>
    <row r="1666" spans="2:10" ht="15.95" customHeight="1" x14ac:dyDescent="0.25">
      <c r="C1666" s="116" t="s">
        <v>376</v>
      </c>
      <c r="D1666" s="117" t="s">
        <v>377</v>
      </c>
      <c r="E1666" s="118"/>
      <c r="F1666" s="118"/>
      <c r="G1666" s="165"/>
      <c r="H1666" s="144"/>
      <c r="I1666" s="126"/>
    </row>
    <row r="1667" spans="2:10" ht="15.95" customHeight="1" x14ac:dyDescent="0.25">
      <c r="C1667" s="122"/>
      <c r="D1667" s="117" t="s">
        <v>647</v>
      </c>
      <c r="E1667" s="118"/>
      <c r="F1667" s="123" t="s">
        <v>158</v>
      </c>
      <c r="G1667" s="124">
        <v>5.0000000000000001E-3</v>
      </c>
      <c r="H1667" s="144">
        <f>VLOOKUP(D1667,Bahan,6,FALSE)</f>
        <v>4375000</v>
      </c>
      <c r="I1667" s="126">
        <f>G1667*H1667</f>
        <v>21875</v>
      </c>
    </row>
    <row r="1668" spans="2:10" ht="15.95" customHeight="1" x14ac:dyDescent="0.25">
      <c r="C1668" s="122"/>
      <c r="D1668" s="117" t="s">
        <v>648</v>
      </c>
      <c r="E1668" s="118"/>
      <c r="F1668" s="123" t="s">
        <v>399</v>
      </c>
      <c r="G1668" s="124">
        <v>4.2999999999999997E-2</v>
      </c>
      <c r="H1668" s="144">
        <f>VLOOKUP(D1668,Bahan,6,FALSE)</f>
        <v>255000</v>
      </c>
      <c r="I1668" s="126">
        <f>G1668*H1668</f>
        <v>10965</v>
      </c>
    </row>
    <row r="1669" spans="2:10" ht="15.95" customHeight="1" x14ac:dyDescent="0.25">
      <c r="C1669" s="122"/>
      <c r="D1669" s="117" t="s">
        <v>588</v>
      </c>
      <c r="E1669" s="118"/>
      <c r="F1669" s="123" t="s">
        <v>636</v>
      </c>
      <c r="G1669" s="124">
        <v>0.2</v>
      </c>
      <c r="H1669" s="144">
        <f>VLOOKUP(D1669,Bahan,6,FALSE)</f>
        <v>7310</v>
      </c>
      <c r="I1669" s="126">
        <f>G1669*H1669</f>
        <v>1462</v>
      </c>
    </row>
    <row r="1670" spans="2:10" ht="15.95" customHeight="1" thickBot="1" x14ac:dyDescent="0.3">
      <c r="C1670" s="122"/>
      <c r="D1670" s="104" t="s">
        <v>649</v>
      </c>
      <c r="E1670" s="118"/>
      <c r="F1670" s="123" t="s">
        <v>418</v>
      </c>
      <c r="G1670" s="124">
        <v>0.69299999999999995</v>
      </c>
      <c r="H1670" s="144">
        <f>VLOOKUP(D1670,Bahan,6,FALSE)</f>
        <v>12500</v>
      </c>
      <c r="I1670" s="126">
        <f>G1670*H1670</f>
        <v>8662.5</v>
      </c>
    </row>
    <row r="1671" spans="2:10" ht="15.95" customHeight="1" thickBot="1" x14ac:dyDescent="0.3">
      <c r="C1671" s="132"/>
      <c r="D1671" s="133"/>
      <c r="E1671" s="134"/>
      <c r="F1671" s="134"/>
      <c r="G1671" s="135" t="s">
        <v>386</v>
      </c>
      <c r="H1671" s="136"/>
      <c r="I1671" s="137">
        <f>SUM(I1667:I1670)</f>
        <v>42964.5</v>
      </c>
    </row>
    <row r="1672" spans="2:10" ht="15.95" customHeight="1" thickBot="1" x14ac:dyDescent="0.3">
      <c r="C1672" s="116" t="s">
        <v>387</v>
      </c>
      <c r="D1672" s="117" t="s">
        <v>388</v>
      </c>
      <c r="E1672" s="118"/>
      <c r="F1672" s="118"/>
      <c r="G1672" s="165"/>
      <c r="H1672" s="144">
        <f>IF(AND(D1672&lt;&gt;"",F1672&lt;&gt;""),IF(C1672="",IF(F1672="OH",VLOOKUP(D1672,[1]UPAH!$B$3:$G$32,7,0),VLOOKUP(D1672,[1]BAHAN!$A$2:$D$3,4,0)),0),0)</f>
        <v>0</v>
      </c>
      <c r="I1672" s="126">
        <f>G1672*H1672</f>
        <v>0</v>
      </c>
    </row>
    <row r="1673" spans="2:10" ht="15.95" customHeight="1" thickBot="1" x14ac:dyDescent="0.3">
      <c r="C1673" s="132"/>
      <c r="D1673" s="133"/>
      <c r="E1673" s="134"/>
      <c r="F1673" s="134"/>
      <c r="G1673" s="135" t="s">
        <v>389</v>
      </c>
      <c r="H1673" s="136"/>
      <c r="I1673" s="137">
        <f>I1672</f>
        <v>0</v>
      </c>
    </row>
    <row r="1674" spans="2:10" ht="15.95" customHeight="1" x14ac:dyDescent="0.25">
      <c r="C1674" s="158" t="s">
        <v>390</v>
      </c>
      <c r="D1674" s="159" t="s">
        <v>391</v>
      </c>
      <c r="E1674" s="160"/>
      <c r="F1674" s="160"/>
      <c r="G1674" s="161"/>
      <c r="H1674" s="162">
        <f>IF(AND(D1674&lt;&gt;"",F1674&lt;&gt;""),IF(C1674="",IF(F1674="OH",VLOOKUP(D1674,[1]UPAH!$B$3:$G$32,7,0),VLOOKUP(D1674,[1]BAHAN!$A$2:$D$3,4,0)),0),0)</f>
        <v>0</v>
      </c>
      <c r="I1674" s="126">
        <f>SUM(I1660:I1673)/2</f>
        <v>49994.5</v>
      </c>
    </row>
    <row r="1675" spans="2:10" ht="15.95" customHeight="1" thickBot="1" x14ac:dyDescent="0.3">
      <c r="C1675" s="147" t="s">
        <v>392</v>
      </c>
      <c r="D1675" s="148" t="s">
        <v>393</v>
      </c>
      <c r="E1675" s="149"/>
      <c r="F1675" s="149"/>
      <c r="G1675" s="164">
        <v>0.1</v>
      </c>
      <c r="H1675" s="151"/>
      <c r="I1675" s="146">
        <f>G1675*I1674</f>
        <v>4999.4500000000007</v>
      </c>
    </row>
    <row r="1676" spans="2:10" ht="15.95" customHeight="1" thickBot="1" x14ac:dyDescent="0.3">
      <c r="C1676" s="111" t="s">
        <v>394</v>
      </c>
      <c r="D1676" s="112" t="s">
        <v>395</v>
      </c>
      <c r="E1676" s="134"/>
      <c r="F1676" s="134"/>
      <c r="G1676" s="156"/>
      <c r="H1676" s="136">
        <f>IF(AND(D1676&lt;&gt;"",F1676&lt;&gt;""),IF(C1676="",IF(F1676="OH",VLOOKUP(D1676,[1]UPAH!$B$3:$G$32,7,0),VLOOKUP(D1676,[1]BAHAN!$A$2:$D$3,4,0)),0),0)</f>
        <v>0</v>
      </c>
      <c r="I1676" s="137">
        <f>ROUNDDOWN(I1674+I1675,0)</f>
        <v>54993</v>
      </c>
    </row>
    <row r="1677" spans="2:10" ht="15.95" customHeight="1" x14ac:dyDescent="0.25">
      <c r="C1677" s="109"/>
      <c r="D1677" s="109"/>
      <c r="G1677" s="157"/>
    </row>
    <row r="1678" spans="2:10" ht="15.95" customHeight="1" thickBot="1" x14ac:dyDescent="0.3">
      <c r="B1678" s="104" t="s">
        <v>652</v>
      </c>
      <c r="C1678" s="109" t="s">
        <v>653</v>
      </c>
      <c r="G1678" s="157"/>
      <c r="J1678" s="110">
        <f>I1697</f>
        <v>52999</v>
      </c>
    </row>
    <row r="1679" spans="2:10" ht="15.95" customHeight="1" thickBot="1" x14ac:dyDescent="0.3">
      <c r="C1679" s="111" t="s">
        <v>328</v>
      </c>
      <c r="D1679" s="112" t="s">
        <v>359</v>
      </c>
      <c r="E1679" s="113" t="s">
        <v>360</v>
      </c>
      <c r="F1679" s="113" t="s">
        <v>330</v>
      </c>
      <c r="G1679" s="114" t="s">
        <v>361</v>
      </c>
      <c r="H1679" s="112" t="s">
        <v>362</v>
      </c>
      <c r="I1679" s="115" t="s">
        <v>363</v>
      </c>
    </row>
    <row r="1680" spans="2:10" ht="15.95" customHeight="1" x14ac:dyDescent="0.25">
      <c r="C1680" s="116" t="s">
        <v>364</v>
      </c>
      <c r="D1680" s="117" t="s">
        <v>365</v>
      </c>
      <c r="E1680" s="118"/>
      <c r="F1680" s="118"/>
      <c r="G1680" s="165"/>
      <c r="H1680" s="144"/>
      <c r="I1680" s="126"/>
    </row>
    <row r="1681" spans="3:9" ht="15.95" customHeight="1" x14ac:dyDescent="0.25">
      <c r="C1681" s="122"/>
      <c r="D1681" s="117" t="s">
        <v>366</v>
      </c>
      <c r="E1681" s="123" t="s">
        <v>367</v>
      </c>
      <c r="F1681" s="123" t="s">
        <v>368</v>
      </c>
      <c r="G1681" s="124">
        <v>4.0000000000000001E-3</v>
      </c>
      <c r="H1681" s="125">
        <f>VLOOKUP(D1681,Upah,8,FALSE)</f>
        <v>125000</v>
      </c>
      <c r="I1681" s="126">
        <f>G1681*H1681</f>
        <v>500</v>
      </c>
    </row>
    <row r="1682" spans="3:9" ht="15.95" customHeight="1" x14ac:dyDescent="0.25">
      <c r="C1682" s="122"/>
      <c r="D1682" s="117" t="s">
        <v>413</v>
      </c>
      <c r="E1682" s="123" t="s">
        <v>414</v>
      </c>
      <c r="F1682" s="123" t="s">
        <v>368</v>
      </c>
      <c r="G1682" s="124">
        <v>3.7999999999999999E-2</v>
      </c>
      <c r="H1682" s="125">
        <f>VLOOKUP(D1682,Upah,8,FALSE)</f>
        <v>150000</v>
      </c>
      <c r="I1682" s="126">
        <f>G1682*H1682</f>
        <v>5700</v>
      </c>
    </row>
    <row r="1683" spans="3:9" ht="15.95" customHeight="1" x14ac:dyDescent="0.25">
      <c r="C1683" s="122"/>
      <c r="D1683" s="117" t="s">
        <v>429</v>
      </c>
      <c r="E1683" s="123" t="s">
        <v>372</v>
      </c>
      <c r="F1683" s="123" t="s">
        <v>368</v>
      </c>
      <c r="G1683" s="124">
        <v>4.0000000000000001E-3</v>
      </c>
      <c r="H1683" s="125">
        <f>VLOOKUP(D1683,Upah,8,FALSE)</f>
        <v>165000</v>
      </c>
      <c r="I1683" s="126">
        <f>G1683*H1683</f>
        <v>660</v>
      </c>
    </row>
    <row r="1684" spans="3:9" ht="15.95" customHeight="1" thickBot="1" x14ac:dyDescent="0.3">
      <c r="C1684" s="122"/>
      <c r="D1684" s="117" t="s">
        <v>373</v>
      </c>
      <c r="E1684" s="123" t="s">
        <v>374</v>
      </c>
      <c r="F1684" s="123" t="s">
        <v>368</v>
      </c>
      <c r="G1684" s="124">
        <v>1E-3</v>
      </c>
      <c r="H1684" s="125">
        <f>VLOOKUP(D1684,Upah,8,FALSE)</f>
        <v>170000</v>
      </c>
      <c r="I1684" s="126">
        <f>G1684*H1684</f>
        <v>170</v>
      </c>
    </row>
    <row r="1685" spans="3:9" ht="15.95" customHeight="1" thickBot="1" x14ac:dyDescent="0.3">
      <c r="C1685" s="132"/>
      <c r="D1685" s="133"/>
      <c r="E1685" s="134"/>
      <c r="F1685" s="134"/>
      <c r="G1685" s="135" t="s">
        <v>375</v>
      </c>
      <c r="H1685" s="136"/>
      <c r="I1685" s="137">
        <f>SUM(I1681:I1684)</f>
        <v>7030</v>
      </c>
    </row>
    <row r="1686" spans="3:9" ht="15.95" customHeight="1" x14ac:dyDescent="0.25">
      <c r="C1686" s="116" t="s">
        <v>376</v>
      </c>
      <c r="D1686" s="117" t="s">
        <v>377</v>
      </c>
      <c r="E1686" s="118"/>
      <c r="F1686" s="118"/>
      <c r="G1686" s="165"/>
      <c r="H1686" s="144"/>
      <c r="I1686" s="126"/>
    </row>
    <row r="1687" spans="3:9" ht="15.95" customHeight="1" x14ac:dyDescent="0.25">
      <c r="C1687" s="122"/>
      <c r="D1687" s="117" t="s">
        <v>647</v>
      </c>
      <c r="E1687" s="118"/>
      <c r="F1687" s="123" t="s">
        <v>158</v>
      </c>
      <c r="G1687" s="124">
        <v>4.0000000000000001E-3</v>
      </c>
      <c r="H1687" s="144">
        <f>VLOOKUP(D1687,Bahan,6,FALSE)</f>
        <v>4375000</v>
      </c>
      <c r="I1687" s="126">
        <f>G1687*H1687</f>
        <v>17500</v>
      </c>
    </row>
    <row r="1688" spans="3:9" ht="15.95" customHeight="1" x14ac:dyDescent="0.25">
      <c r="C1688" s="122"/>
      <c r="D1688" s="117" t="s">
        <v>648</v>
      </c>
      <c r="E1688" s="118"/>
      <c r="F1688" s="123" t="s">
        <v>399</v>
      </c>
      <c r="G1688" s="124">
        <v>4.8000000000000001E-2</v>
      </c>
      <c r="H1688" s="144">
        <f>VLOOKUP(D1688,Bahan,6,FALSE)</f>
        <v>255000</v>
      </c>
      <c r="I1688" s="126">
        <f>G1688*H1688</f>
        <v>12240</v>
      </c>
    </row>
    <row r="1689" spans="3:9" ht="15.95" customHeight="1" x14ac:dyDescent="0.25">
      <c r="C1689" s="122"/>
      <c r="D1689" s="117" t="s">
        <v>588</v>
      </c>
      <c r="E1689" s="118"/>
      <c r="F1689" s="123" t="s">
        <v>636</v>
      </c>
      <c r="G1689" s="124">
        <v>0.2</v>
      </c>
      <c r="H1689" s="144">
        <f>VLOOKUP(D1689,Bahan,6,FALSE)</f>
        <v>7310</v>
      </c>
      <c r="I1689" s="126">
        <f>G1689*H1689</f>
        <v>1462</v>
      </c>
    </row>
    <row r="1690" spans="3:9" ht="15.95" customHeight="1" x14ac:dyDescent="0.25">
      <c r="C1690" s="122"/>
      <c r="D1690" s="117" t="s">
        <v>613</v>
      </c>
      <c r="E1690" s="118"/>
      <c r="F1690" s="123" t="s">
        <v>159</v>
      </c>
      <c r="G1690" s="124">
        <v>4.5999999999999999E-2</v>
      </c>
      <c r="H1690" s="144">
        <f>VLOOKUP(D1690,Bahan,6,FALSE)</f>
        <v>27970</v>
      </c>
      <c r="I1690" s="126">
        <f>G1690*H1690</f>
        <v>1286.6199999999999</v>
      </c>
    </row>
    <row r="1691" spans="3:9" ht="15.95" customHeight="1" thickBot="1" x14ac:dyDescent="0.3">
      <c r="C1691" s="122"/>
      <c r="D1691" s="104" t="s">
        <v>649</v>
      </c>
      <c r="E1691" s="118"/>
      <c r="F1691" s="123" t="s">
        <v>418</v>
      </c>
      <c r="G1691" s="124">
        <v>0.69299999999999995</v>
      </c>
      <c r="H1691" s="144">
        <f>VLOOKUP(D1691,Bahan,6,FALSE)</f>
        <v>12500</v>
      </c>
      <c r="I1691" s="126">
        <f>G1691*H1691</f>
        <v>8662.5</v>
      </c>
    </row>
    <row r="1692" spans="3:9" ht="15.95" customHeight="1" thickBot="1" x14ac:dyDescent="0.3">
      <c r="C1692" s="132"/>
      <c r="D1692" s="133"/>
      <c r="E1692" s="134"/>
      <c r="F1692" s="134"/>
      <c r="G1692" s="135" t="s">
        <v>386</v>
      </c>
      <c r="H1692" s="136"/>
      <c r="I1692" s="137">
        <f>SUM(I1687:I1691)</f>
        <v>41151.119999999995</v>
      </c>
    </row>
    <row r="1693" spans="3:9" ht="15.95" customHeight="1" thickBot="1" x14ac:dyDescent="0.3">
      <c r="C1693" s="116" t="s">
        <v>387</v>
      </c>
      <c r="D1693" s="117" t="s">
        <v>388</v>
      </c>
      <c r="E1693" s="118"/>
      <c r="F1693" s="118"/>
      <c r="G1693" s="165"/>
      <c r="H1693" s="144">
        <f>IF(AND(D1693&lt;&gt;"",F1693&lt;&gt;""),IF(C1693="",IF(F1693="OH",VLOOKUP(D1693,[1]UPAH!$B$3:$G$32,7,0),VLOOKUP(D1693,[1]BAHAN!$A$2:$D$3,4,0)),0),0)</f>
        <v>0</v>
      </c>
      <c r="I1693" s="126">
        <f>G1693*H1693</f>
        <v>0</v>
      </c>
    </row>
    <row r="1694" spans="3:9" ht="15.95" customHeight="1" thickBot="1" x14ac:dyDescent="0.3">
      <c r="C1694" s="132"/>
      <c r="D1694" s="133"/>
      <c r="E1694" s="134"/>
      <c r="F1694" s="134"/>
      <c r="G1694" s="135" t="s">
        <v>389</v>
      </c>
      <c r="H1694" s="136"/>
      <c r="I1694" s="137">
        <f>I1693</f>
        <v>0</v>
      </c>
    </row>
    <row r="1695" spans="3:9" ht="15.95" customHeight="1" x14ac:dyDescent="0.25">
      <c r="C1695" s="158" t="s">
        <v>390</v>
      </c>
      <c r="D1695" s="159" t="s">
        <v>391</v>
      </c>
      <c r="E1695" s="160"/>
      <c r="F1695" s="160"/>
      <c r="G1695" s="161"/>
      <c r="H1695" s="162">
        <f>IF(AND(D1695&lt;&gt;"",F1695&lt;&gt;""),IF(C1695="",IF(F1695="OH",VLOOKUP(D1695,[1]UPAH!$B$3:$G$32,7,0),VLOOKUP(D1695,[1]BAHAN!$A$2:$D$3,4,0)),0),0)</f>
        <v>0</v>
      </c>
      <c r="I1695" s="126">
        <f>SUM(I1681:I1694)/2</f>
        <v>48181.119999999995</v>
      </c>
    </row>
    <row r="1696" spans="3:9" ht="15.95" customHeight="1" thickBot="1" x14ac:dyDescent="0.3">
      <c r="C1696" s="147" t="s">
        <v>392</v>
      </c>
      <c r="D1696" s="148" t="s">
        <v>393</v>
      </c>
      <c r="E1696" s="149"/>
      <c r="F1696" s="149"/>
      <c r="G1696" s="164">
        <v>0.1</v>
      </c>
      <c r="H1696" s="151"/>
      <c r="I1696" s="146">
        <f>G1696*I1695</f>
        <v>4818.1120000000001</v>
      </c>
    </row>
    <row r="1697" spans="2:10" ht="15.95" customHeight="1" thickBot="1" x14ac:dyDescent="0.3">
      <c r="C1697" s="111" t="s">
        <v>394</v>
      </c>
      <c r="D1697" s="112" t="s">
        <v>395</v>
      </c>
      <c r="E1697" s="134"/>
      <c r="F1697" s="134"/>
      <c r="G1697" s="156"/>
      <c r="H1697" s="136">
        <f>IF(AND(D1697&lt;&gt;"",F1697&lt;&gt;""),IF(C1697="",IF(F1697="OH",VLOOKUP(D1697,[1]UPAH!$B$3:$G$32,7,0),VLOOKUP(D1697,[1]BAHAN!$A$2:$D$3,4,0)),0),0)</f>
        <v>0</v>
      </c>
      <c r="I1697" s="137">
        <f>ROUNDDOWN(I1695+I1696,0)</f>
        <v>52999</v>
      </c>
    </row>
    <row r="1698" spans="2:10" ht="15.95" customHeight="1" x14ac:dyDescent="0.25">
      <c r="C1698" s="109"/>
      <c r="D1698" s="109"/>
      <c r="G1698" s="157"/>
      <c r="H1698" s="166"/>
      <c r="I1698" s="110"/>
    </row>
    <row r="1699" spans="2:10" ht="15.95" customHeight="1" thickBot="1" x14ac:dyDescent="0.3">
      <c r="B1699" s="109" t="s">
        <v>654</v>
      </c>
      <c r="C1699" s="104" t="s">
        <v>655</v>
      </c>
      <c r="G1699" s="157"/>
      <c r="J1699" s="110">
        <f>I1712</f>
        <v>11192</v>
      </c>
    </row>
    <row r="1700" spans="2:10" ht="15.95" customHeight="1" thickBot="1" x14ac:dyDescent="0.3">
      <c r="C1700" s="111" t="s">
        <v>328</v>
      </c>
      <c r="D1700" s="112" t="s">
        <v>359</v>
      </c>
      <c r="E1700" s="113" t="s">
        <v>360</v>
      </c>
      <c r="F1700" s="113" t="s">
        <v>330</v>
      </c>
      <c r="G1700" s="114" t="s">
        <v>361</v>
      </c>
      <c r="H1700" s="112" t="s">
        <v>362</v>
      </c>
      <c r="I1700" s="115" t="s">
        <v>363</v>
      </c>
    </row>
    <row r="1701" spans="2:10" ht="15.95" customHeight="1" x14ac:dyDescent="0.25">
      <c r="C1701" s="116" t="s">
        <v>364</v>
      </c>
      <c r="D1701" s="117" t="s">
        <v>365</v>
      </c>
      <c r="E1701" s="118"/>
      <c r="F1701" s="118"/>
      <c r="G1701" s="165"/>
      <c r="H1701" s="144"/>
      <c r="I1701" s="126"/>
    </row>
    <row r="1702" spans="2:10" ht="15.95" customHeight="1" x14ac:dyDescent="0.25">
      <c r="C1702" s="122"/>
      <c r="D1702" s="117" t="s">
        <v>366</v>
      </c>
      <c r="E1702" s="123" t="s">
        <v>367</v>
      </c>
      <c r="F1702" s="123" t="s">
        <v>368</v>
      </c>
      <c r="G1702" s="124">
        <v>5.2999999999999999E-2</v>
      </c>
      <c r="H1702" s="125">
        <f>VLOOKUP(D1702,Upah,8,FALSE)</f>
        <v>125000</v>
      </c>
      <c r="I1702" s="126">
        <f>G1702*H1702</f>
        <v>6625</v>
      </c>
    </row>
    <row r="1703" spans="2:10" ht="15.95" customHeight="1" x14ac:dyDescent="0.25">
      <c r="C1703" s="122"/>
      <c r="D1703" s="117" t="s">
        <v>611</v>
      </c>
      <c r="E1703" s="118" t="s">
        <v>370</v>
      </c>
      <c r="F1703" s="123" t="s">
        <v>368</v>
      </c>
      <c r="G1703" s="124">
        <v>1.7999999999999999E-2</v>
      </c>
      <c r="H1703" s="125">
        <f>VLOOKUP(D1703,Upah,8,FALSE)</f>
        <v>150000</v>
      </c>
      <c r="I1703" s="126">
        <f>G1703*H1703</f>
        <v>2700</v>
      </c>
    </row>
    <row r="1704" spans="2:10" ht="15.95" customHeight="1" thickBot="1" x14ac:dyDescent="0.3">
      <c r="C1704" s="122"/>
      <c r="D1704" s="117" t="s">
        <v>373</v>
      </c>
      <c r="E1704" s="123" t="s">
        <v>374</v>
      </c>
      <c r="F1704" s="123" t="s">
        <v>368</v>
      </c>
      <c r="G1704" s="124">
        <v>5.0000000000000001E-3</v>
      </c>
      <c r="H1704" s="125">
        <f>VLOOKUP(D1704,Upah,8,FALSE)</f>
        <v>170000</v>
      </c>
      <c r="I1704" s="126">
        <f>G1704*H1704</f>
        <v>850</v>
      </c>
    </row>
    <row r="1705" spans="2:10" ht="15.95" customHeight="1" thickBot="1" x14ac:dyDescent="0.3">
      <c r="C1705" s="132"/>
      <c r="D1705" s="133"/>
      <c r="E1705" s="134"/>
      <c r="F1705" s="134"/>
      <c r="G1705" s="135" t="s">
        <v>375</v>
      </c>
      <c r="H1705" s="136"/>
      <c r="I1705" s="137">
        <f>SUM(I1701:I1704)</f>
        <v>10175</v>
      </c>
    </row>
    <row r="1706" spans="2:10" ht="15.95" customHeight="1" thickBot="1" x14ac:dyDescent="0.3">
      <c r="C1706" s="116" t="s">
        <v>376</v>
      </c>
      <c r="D1706" s="117" t="s">
        <v>377</v>
      </c>
      <c r="E1706" s="118"/>
      <c r="F1706" s="118"/>
      <c r="G1706" s="165"/>
      <c r="H1706" s="144"/>
      <c r="I1706" s="126"/>
    </row>
    <row r="1707" spans="2:10" ht="15.95" customHeight="1" thickBot="1" x14ac:dyDescent="0.3">
      <c r="C1707" s="132"/>
      <c r="D1707" s="133"/>
      <c r="E1707" s="134"/>
      <c r="F1707" s="134"/>
      <c r="G1707" s="135" t="s">
        <v>386</v>
      </c>
      <c r="H1707" s="136"/>
      <c r="I1707" s="137">
        <f>SUM(I1706)</f>
        <v>0</v>
      </c>
    </row>
    <row r="1708" spans="2:10" ht="15.95" customHeight="1" thickBot="1" x14ac:dyDescent="0.3">
      <c r="C1708" s="116" t="s">
        <v>387</v>
      </c>
      <c r="D1708" s="117" t="s">
        <v>388</v>
      </c>
      <c r="E1708" s="118"/>
      <c r="F1708" s="118"/>
      <c r="G1708" s="165"/>
      <c r="H1708" s="144">
        <f>IF(AND(D1708&lt;&gt;"",F1708&lt;&gt;""),IF(C1708="",IF(F1708="OH",VLOOKUP(D1708,[1]UPAH!$B$3:$G$32,7,0),VLOOKUP(D1708,[1]BAHAN!$A$2:$D$3,4,0)),0),0)</f>
        <v>0</v>
      </c>
      <c r="I1708" s="126">
        <f>G1708*H1708</f>
        <v>0</v>
      </c>
    </row>
    <row r="1709" spans="2:10" ht="15.95" customHeight="1" thickBot="1" x14ac:dyDescent="0.3">
      <c r="C1709" s="132"/>
      <c r="D1709" s="133"/>
      <c r="E1709" s="134"/>
      <c r="F1709" s="134"/>
      <c r="G1709" s="135" t="s">
        <v>389</v>
      </c>
      <c r="H1709" s="136"/>
      <c r="I1709" s="137">
        <f>I1708</f>
        <v>0</v>
      </c>
    </row>
    <row r="1710" spans="2:10" ht="15.95" customHeight="1" x14ac:dyDescent="0.25">
      <c r="C1710" s="158" t="s">
        <v>390</v>
      </c>
      <c r="D1710" s="159" t="s">
        <v>391</v>
      </c>
      <c r="E1710" s="160"/>
      <c r="F1710" s="160"/>
      <c r="G1710" s="161"/>
      <c r="H1710" s="162">
        <f>IF(AND(D1710&lt;&gt;"",F1710&lt;&gt;""),IF(C1710="",IF(F1710="OH",VLOOKUP(D1710,[1]UPAH!$B$3:$G$32,7,0),VLOOKUP(D1710,[1]BAHAN!$A$2:$D$3,4,0)),0),0)</f>
        <v>0</v>
      </c>
      <c r="I1710" s="126">
        <f>SUM(I1700:I1709)/2</f>
        <v>10175</v>
      </c>
    </row>
    <row r="1711" spans="2:10" ht="15.95" customHeight="1" thickBot="1" x14ac:dyDescent="0.3">
      <c r="C1711" s="147" t="s">
        <v>392</v>
      </c>
      <c r="D1711" s="148" t="s">
        <v>393</v>
      </c>
      <c r="E1711" s="149"/>
      <c r="F1711" s="149"/>
      <c r="G1711" s="164">
        <v>0.1</v>
      </c>
      <c r="H1711" s="151"/>
      <c r="I1711" s="146">
        <f>G1711*I1710</f>
        <v>1017.5</v>
      </c>
    </row>
    <row r="1712" spans="2:10" ht="15.95" customHeight="1" thickBot="1" x14ac:dyDescent="0.3">
      <c r="C1712" s="111" t="s">
        <v>394</v>
      </c>
      <c r="D1712" s="112" t="s">
        <v>395</v>
      </c>
      <c r="E1712" s="134"/>
      <c r="F1712" s="134"/>
      <c r="G1712" s="156"/>
      <c r="H1712" s="136">
        <f>IF(AND(D1712&lt;&gt;"",F1712&lt;&gt;""),IF(C1712="",IF(F1712="OH",VLOOKUP(D1712,[1]UPAH!$B$3:$G$32,7,0),VLOOKUP(D1712,[1]BAHAN!$A$2:$D$3,4,0)),0),0)</f>
        <v>0</v>
      </c>
      <c r="I1712" s="137">
        <f>ROUNDDOWN(I1710+I1711,0)</f>
        <v>11192</v>
      </c>
    </row>
    <row r="1713" spans="2:10" ht="15.95" customHeight="1" x14ac:dyDescent="0.25">
      <c r="C1713" s="109"/>
      <c r="D1713" s="109"/>
      <c r="G1713" s="157"/>
    </row>
    <row r="1714" spans="2:10" ht="15.95" customHeight="1" thickBot="1" x14ac:dyDescent="0.3">
      <c r="B1714" s="109" t="s">
        <v>656</v>
      </c>
      <c r="C1714" s="104" t="s">
        <v>657</v>
      </c>
      <c r="G1714" s="157"/>
      <c r="J1714" s="110">
        <f>I1727</f>
        <v>18122</v>
      </c>
    </row>
    <row r="1715" spans="2:10" ht="15.95" customHeight="1" thickBot="1" x14ac:dyDescent="0.3">
      <c r="C1715" s="111" t="s">
        <v>328</v>
      </c>
      <c r="D1715" s="112" t="s">
        <v>359</v>
      </c>
      <c r="E1715" s="113" t="s">
        <v>360</v>
      </c>
      <c r="F1715" s="113" t="s">
        <v>330</v>
      </c>
      <c r="G1715" s="114" t="s">
        <v>361</v>
      </c>
      <c r="H1715" s="112" t="s">
        <v>362</v>
      </c>
      <c r="I1715" s="115" t="s">
        <v>363</v>
      </c>
    </row>
    <row r="1716" spans="2:10" ht="15.95" customHeight="1" x14ac:dyDescent="0.25">
      <c r="C1716" s="116" t="s">
        <v>364</v>
      </c>
      <c r="D1716" s="117" t="s">
        <v>365</v>
      </c>
      <c r="E1716" s="118"/>
      <c r="F1716" s="118"/>
      <c r="G1716" s="165"/>
      <c r="H1716" s="144"/>
      <c r="I1716" s="126"/>
    </row>
    <row r="1717" spans="2:10" ht="15.95" customHeight="1" x14ac:dyDescent="0.25">
      <c r="C1717" s="122"/>
      <c r="D1717" s="117" t="s">
        <v>366</v>
      </c>
      <c r="E1717" s="123" t="s">
        <v>367</v>
      </c>
      <c r="F1717" s="123" t="s">
        <v>368</v>
      </c>
      <c r="G1717" s="124">
        <v>8.8999999999999996E-2</v>
      </c>
      <c r="H1717" s="125">
        <f>VLOOKUP(D1717,Upah,8,FALSE)</f>
        <v>125000</v>
      </c>
      <c r="I1717" s="126">
        <f>G1717*H1717</f>
        <v>11125</v>
      </c>
    </row>
    <row r="1718" spans="2:10" ht="15.95" customHeight="1" x14ac:dyDescent="0.25">
      <c r="C1718" s="122"/>
      <c r="D1718" s="117" t="s">
        <v>611</v>
      </c>
      <c r="E1718" s="118" t="s">
        <v>370</v>
      </c>
      <c r="F1718" s="123" t="s">
        <v>368</v>
      </c>
      <c r="G1718" s="124">
        <v>0.03</v>
      </c>
      <c r="H1718" s="125">
        <f>VLOOKUP(D1718,Upah,8,FALSE)</f>
        <v>150000</v>
      </c>
      <c r="I1718" s="126">
        <f>G1718*H1718</f>
        <v>4500</v>
      </c>
    </row>
    <row r="1719" spans="2:10" ht="15.95" customHeight="1" thickBot="1" x14ac:dyDescent="0.3">
      <c r="C1719" s="122"/>
      <c r="D1719" s="117" t="s">
        <v>373</v>
      </c>
      <c r="E1719" s="123" t="s">
        <v>374</v>
      </c>
      <c r="F1719" s="123" t="s">
        <v>368</v>
      </c>
      <c r="G1719" s="124">
        <v>5.0000000000000001E-3</v>
      </c>
      <c r="H1719" s="125">
        <f>VLOOKUP(D1719,Upah,8,FALSE)</f>
        <v>170000</v>
      </c>
      <c r="I1719" s="126">
        <f>G1719*H1719</f>
        <v>850</v>
      </c>
    </row>
    <row r="1720" spans="2:10" ht="15.95" customHeight="1" thickBot="1" x14ac:dyDescent="0.3">
      <c r="C1720" s="132"/>
      <c r="D1720" s="133"/>
      <c r="E1720" s="134"/>
      <c r="F1720" s="134"/>
      <c r="G1720" s="135" t="s">
        <v>375</v>
      </c>
      <c r="H1720" s="136"/>
      <c r="I1720" s="137">
        <f>SUM(I1716:I1719)</f>
        <v>16475</v>
      </c>
    </row>
    <row r="1721" spans="2:10" ht="15.95" customHeight="1" thickBot="1" x14ac:dyDescent="0.3">
      <c r="C1721" s="116" t="s">
        <v>376</v>
      </c>
      <c r="D1721" s="117" t="s">
        <v>377</v>
      </c>
      <c r="E1721" s="118"/>
      <c r="F1721" s="118"/>
      <c r="G1721" s="165"/>
      <c r="H1721" s="144"/>
      <c r="I1721" s="126"/>
    </row>
    <row r="1722" spans="2:10" ht="15.95" customHeight="1" thickBot="1" x14ac:dyDescent="0.3">
      <c r="C1722" s="132"/>
      <c r="D1722" s="133"/>
      <c r="E1722" s="134"/>
      <c r="F1722" s="134"/>
      <c r="G1722" s="135" t="s">
        <v>386</v>
      </c>
      <c r="H1722" s="136"/>
      <c r="I1722" s="137">
        <f>SUM(I1721)</f>
        <v>0</v>
      </c>
    </row>
    <row r="1723" spans="2:10" ht="15.95" customHeight="1" thickBot="1" x14ac:dyDescent="0.3">
      <c r="C1723" s="116" t="s">
        <v>387</v>
      </c>
      <c r="D1723" s="117" t="s">
        <v>388</v>
      </c>
      <c r="E1723" s="118"/>
      <c r="F1723" s="118"/>
      <c r="G1723" s="165"/>
      <c r="H1723" s="144">
        <f>IF(AND(D1723&lt;&gt;"",F1723&lt;&gt;""),IF(C1723="",IF(F1723="OH",VLOOKUP(D1723,[1]UPAH!$B$3:$G$32,7,0),VLOOKUP(D1723,[1]BAHAN!$A$2:$D$3,4,0)),0),0)</f>
        <v>0</v>
      </c>
      <c r="I1723" s="126">
        <f>G1723*H1723</f>
        <v>0</v>
      </c>
    </row>
    <row r="1724" spans="2:10" ht="15.95" customHeight="1" thickBot="1" x14ac:dyDescent="0.3">
      <c r="C1724" s="132"/>
      <c r="D1724" s="133"/>
      <c r="E1724" s="134"/>
      <c r="F1724" s="134"/>
      <c r="G1724" s="135" t="s">
        <v>389</v>
      </c>
      <c r="H1724" s="136"/>
      <c r="I1724" s="137">
        <f>I1723</f>
        <v>0</v>
      </c>
    </row>
    <row r="1725" spans="2:10" ht="15.95" customHeight="1" x14ac:dyDescent="0.25">
      <c r="C1725" s="158" t="s">
        <v>390</v>
      </c>
      <c r="D1725" s="159" t="s">
        <v>391</v>
      </c>
      <c r="E1725" s="160"/>
      <c r="F1725" s="160"/>
      <c r="G1725" s="161"/>
      <c r="H1725" s="162">
        <f>IF(AND(D1725&lt;&gt;"",F1725&lt;&gt;""),IF(C1725="",IF(F1725="OH",VLOOKUP(D1725,[1]UPAH!$B$3:$G$32,7,0),VLOOKUP(D1725,[1]BAHAN!$A$2:$D$3,4,0)),0),0)</f>
        <v>0</v>
      </c>
      <c r="I1725" s="126">
        <f>SUM(I1715:I1724)/2</f>
        <v>16475</v>
      </c>
    </row>
    <row r="1726" spans="2:10" ht="15.95" customHeight="1" thickBot="1" x14ac:dyDescent="0.3">
      <c r="C1726" s="147" t="s">
        <v>392</v>
      </c>
      <c r="D1726" s="148" t="s">
        <v>393</v>
      </c>
      <c r="E1726" s="149"/>
      <c r="F1726" s="149"/>
      <c r="G1726" s="164">
        <v>0.1</v>
      </c>
      <c r="H1726" s="151"/>
      <c r="I1726" s="146">
        <f>G1726*I1725</f>
        <v>1647.5</v>
      </c>
    </row>
    <row r="1727" spans="2:10" ht="15.95" customHeight="1" thickBot="1" x14ac:dyDescent="0.3">
      <c r="C1727" s="111" t="s">
        <v>394</v>
      </c>
      <c r="D1727" s="112" t="s">
        <v>395</v>
      </c>
      <c r="E1727" s="134"/>
      <c r="F1727" s="134"/>
      <c r="G1727" s="156"/>
      <c r="H1727" s="136">
        <f>IF(AND(D1727&lt;&gt;"",F1727&lt;&gt;""),IF(C1727="",IF(F1727="OH",VLOOKUP(D1727,[1]UPAH!$B$3:$G$32,7,0),VLOOKUP(D1727,[1]BAHAN!$A$2:$D$3,4,0)),0),0)</f>
        <v>0</v>
      </c>
      <c r="I1727" s="137">
        <f>ROUNDDOWN(I1725+I1726,0)</f>
        <v>18122</v>
      </c>
    </row>
    <row r="1728" spans="2:10" ht="15.95" customHeight="1" x14ac:dyDescent="0.25">
      <c r="C1728" s="109"/>
      <c r="D1728" s="109"/>
      <c r="G1728" s="157"/>
    </row>
    <row r="1729" spans="2:10" ht="15.95" customHeight="1" thickBot="1" x14ac:dyDescent="0.3">
      <c r="B1729" s="109" t="s">
        <v>658</v>
      </c>
      <c r="C1729" s="104" t="s">
        <v>659</v>
      </c>
      <c r="G1729" s="157"/>
      <c r="J1729" s="110">
        <f>I1742</f>
        <v>14657</v>
      </c>
    </row>
    <row r="1730" spans="2:10" ht="15.95" customHeight="1" thickBot="1" x14ac:dyDescent="0.3">
      <c r="C1730" s="111" t="s">
        <v>328</v>
      </c>
      <c r="D1730" s="112" t="s">
        <v>359</v>
      </c>
      <c r="E1730" s="113" t="s">
        <v>360</v>
      </c>
      <c r="F1730" s="113" t="s">
        <v>330</v>
      </c>
      <c r="G1730" s="114" t="s">
        <v>361</v>
      </c>
      <c r="H1730" s="112" t="s">
        <v>362</v>
      </c>
      <c r="I1730" s="115" t="s">
        <v>363</v>
      </c>
    </row>
    <row r="1731" spans="2:10" ht="15.95" customHeight="1" x14ac:dyDescent="0.25">
      <c r="C1731" s="116" t="s">
        <v>364</v>
      </c>
      <c r="D1731" s="117" t="s">
        <v>365</v>
      </c>
      <c r="E1731" s="118"/>
      <c r="F1731" s="118"/>
      <c r="G1731" s="165"/>
      <c r="H1731" s="144"/>
      <c r="I1731" s="126"/>
    </row>
    <row r="1732" spans="2:10" ht="15.95" customHeight="1" x14ac:dyDescent="0.25">
      <c r="C1732" s="122"/>
      <c r="D1732" s="117" t="s">
        <v>366</v>
      </c>
      <c r="E1732" s="123" t="s">
        <v>367</v>
      </c>
      <c r="F1732" s="123" t="s">
        <v>368</v>
      </c>
      <c r="G1732" s="124">
        <v>7.0999999999999994E-2</v>
      </c>
      <c r="H1732" s="125">
        <f>VLOOKUP(D1732,Upah,8,FALSE)</f>
        <v>125000</v>
      </c>
      <c r="I1732" s="126">
        <f>G1732*H1732</f>
        <v>8875</v>
      </c>
    </row>
    <row r="1733" spans="2:10" ht="15.95" customHeight="1" x14ac:dyDescent="0.25">
      <c r="C1733" s="122"/>
      <c r="D1733" s="117" t="s">
        <v>611</v>
      </c>
      <c r="E1733" s="118" t="s">
        <v>370</v>
      </c>
      <c r="F1733" s="123" t="s">
        <v>368</v>
      </c>
      <c r="G1733" s="124">
        <v>2.4E-2</v>
      </c>
      <c r="H1733" s="125">
        <f>VLOOKUP(D1733,Upah,8,FALSE)</f>
        <v>150000</v>
      </c>
      <c r="I1733" s="126">
        <f>G1733*H1733</f>
        <v>3600</v>
      </c>
    </row>
    <row r="1734" spans="2:10" ht="15.95" customHeight="1" thickBot="1" x14ac:dyDescent="0.3">
      <c r="C1734" s="122"/>
      <c r="D1734" s="117" t="s">
        <v>373</v>
      </c>
      <c r="E1734" s="123" t="s">
        <v>374</v>
      </c>
      <c r="F1734" s="123" t="s">
        <v>368</v>
      </c>
      <c r="G1734" s="124">
        <v>5.0000000000000001E-3</v>
      </c>
      <c r="H1734" s="125">
        <f>VLOOKUP(D1734,Upah,8,FALSE)</f>
        <v>170000</v>
      </c>
      <c r="I1734" s="126">
        <f>G1734*H1734</f>
        <v>850</v>
      </c>
    </row>
    <row r="1735" spans="2:10" ht="15.95" customHeight="1" thickBot="1" x14ac:dyDescent="0.3">
      <c r="C1735" s="132"/>
      <c r="D1735" s="133"/>
      <c r="E1735" s="134"/>
      <c r="F1735" s="134"/>
      <c r="G1735" s="135" t="s">
        <v>375</v>
      </c>
      <c r="H1735" s="136"/>
      <c r="I1735" s="137">
        <f>SUM(I1732:I1734)</f>
        <v>13325</v>
      </c>
    </row>
    <row r="1736" spans="2:10" ht="15.95" customHeight="1" thickBot="1" x14ac:dyDescent="0.3">
      <c r="C1736" s="116" t="s">
        <v>376</v>
      </c>
      <c r="D1736" s="117" t="s">
        <v>377</v>
      </c>
      <c r="E1736" s="118"/>
      <c r="F1736" s="118"/>
      <c r="G1736" s="165"/>
      <c r="H1736" s="144"/>
      <c r="I1736" s="126"/>
    </row>
    <row r="1737" spans="2:10" ht="15.95" customHeight="1" thickBot="1" x14ac:dyDescent="0.3">
      <c r="C1737" s="132"/>
      <c r="D1737" s="133"/>
      <c r="E1737" s="134"/>
      <c r="F1737" s="134"/>
      <c r="G1737" s="135" t="s">
        <v>386</v>
      </c>
      <c r="H1737" s="136"/>
      <c r="I1737" s="137">
        <f>SUM(I1736)</f>
        <v>0</v>
      </c>
    </row>
    <row r="1738" spans="2:10" ht="15.95" customHeight="1" thickBot="1" x14ac:dyDescent="0.3">
      <c r="C1738" s="116" t="s">
        <v>387</v>
      </c>
      <c r="D1738" s="117" t="s">
        <v>388</v>
      </c>
      <c r="E1738" s="118"/>
      <c r="F1738" s="118"/>
      <c r="G1738" s="165"/>
      <c r="H1738" s="144">
        <f>IF(AND(D1738&lt;&gt;"",F1738&lt;&gt;""),IF(C1738="",IF(F1738="OH",VLOOKUP(D1738,[1]UPAH!$B$3:$G$32,7,0),VLOOKUP(D1738,[1]BAHAN!$A$2:$D$3,4,0)),0),0)</f>
        <v>0</v>
      </c>
      <c r="I1738" s="126">
        <f>G1738*H1738</f>
        <v>0</v>
      </c>
    </row>
    <row r="1739" spans="2:10" ht="15.95" customHeight="1" thickBot="1" x14ac:dyDescent="0.3">
      <c r="C1739" s="132"/>
      <c r="D1739" s="133"/>
      <c r="E1739" s="134"/>
      <c r="F1739" s="134"/>
      <c r="G1739" s="135" t="s">
        <v>389</v>
      </c>
      <c r="H1739" s="136"/>
      <c r="I1739" s="137">
        <f>I1738</f>
        <v>0</v>
      </c>
    </row>
    <row r="1740" spans="2:10" ht="15.95" customHeight="1" x14ac:dyDescent="0.25">
      <c r="C1740" s="158" t="s">
        <v>390</v>
      </c>
      <c r="D1740" s="159" t="s">
        <v>391</v>
      </c>
      <c r="E1740" s="160"/>
      <c r="F1740" s="160"/>
      <c r="G1740" s="161"/>
      <c r="H1740" s="162">
        <f>IF(AND(D1740&lt;&gt;"",F1740&lt;&gt;""),IF(C1740="",IF(F1740="OH",VLOOKUP(D1740,[1]UPAH!$B$3:$G$32,7,0),VLOOKUP(D1740,[1]BAHAN!$A$2:$D$3,4,0)),0),0)</f>
        <v>0</v>
      </c>
      <c r="I1740" s="126">
        <f>SUM(I1730:I1739)/2</f>
        <v>13325</v>
      </c>
    </row>
    <row r="1741" spans="2:10" ht="15.95" customHeight="1" thickBot="1" x14ac:dyDescent="0.3">
      <c r="C1741" s="147" t="s">
        <v>392</v>
      </c>
      <c r="D1741" s="148" t="s">
        <v>393</v>
      </c>
      <c r="E1741" s="149"/>
      <c r="F1741" s="149"/>
      <c r="G1741" s="164">
        <v>0.1</v>
      </c>
      <c r="H1741" s="151"/>
      <c r="I1741" s="146">
        <f>G1741*I1740</f>
        <v>1332.5</v>
      </c>
    </row>
    <row r="1742" spans="2:10" ht="15.95" customHeight="1" thickBot="1" x14ac:dyDescent="0.3">
      <c r="C1742" s="111" t="s">
        <v>394</v>
      </c>
      <c r="D1742" s="112" t="s">
        <v>395</v>
      </c>
      <c r="E1742" s="134"/>
      <c r="F1742" s="134"/>
      <c r="G1742" s="156"/>
      <c r="H1742" s="136">
        <f>IF(AND(D1742&lt;&gt;"",F1742&lt;&gt;""),IF(C1742="",IF(F1742="OH",VLOOKUP(D1742,[1]UPAH!$B$3:$G$32,7,0),VLOOKUP(D1742,[1]BAHAN!$A$2:$D$3,4,0)),0),0)</f>
        <v>0</v>
      </c>
      <c r="I1742" s="137">
        <f>ROUNDDOWN(I1740+I1741,0)</f>
        <v>14657</v>
      </c>
    </row>
    <row r="1743" spans="2:10" ht="15.95" customHeight="1" x14ac:dyDescent="0.25">
      <c r="C1743" s="109"/>
      <c r="D1743" s="109"/>
      <c r="G1743" s="157"/>
      <c r="H1743" s="166"/>
      <c r="I1743" s="110"/>
    </row>
    <row r="1744" spans="2:10" ht="15.95" customHeight="1" thickBot="1" x14ac:dyDescent="0.3">
      <c r="B1744" s="109" t="s">
        <v>660</v>
      </c>
      <c r="C1744" s="104" t="s">
        <v>661</v>
      </c>
      <c r="G1744" s="157"/>
      <c r="J1744" s="110">
        <f>I1759</f>
        <v>90002</v>
      </c>
    </row>
    <row r="1745" spans="3:9" ht="15.95" customHeight="1" thickBot="1" x14ac:dyDescent="0.3">
      <c r="C1745" s="111" t="s">
        <v>328</v>
      </c>
      <c r="D1745" s="112" t="s">
        <v>359</v>
      </c>
      <c r="E1745" s="113" t="s">
        <v>360</v>
      </c>
      <c r="F1745" s="113" t="s">
        <v>330</v>
      </c>
      <c r="G1745" s="114" t="s">
        <v>361</v>
      </c>
      <c r="H1745" s="112" t="s">
        <v>362</v>
      </c>
      <c r="I1745" s="115" t="s">
        <v>363</v>
      </c>
    </row>
    <row r="1746" spans="3:9" ht="15.95" customHeight="1" x14ac:dyDescent="0.25">
      <c r="C1746" s="116" t="s">
        <v>364</v>
      </c>
      <c r="D1746" s="117" t="s">
        <v>365</v>
      </c>
      <c r="E1746" s="118"/>
      <c r="F1746" s="118"/>
      <c r="G1746" s="165"/>
      <c r="H1746" s="144"/>
      <c r="I1746" s="126"/>
    </row>
    <row r="1747" spans="3:9" ht="15.95" customHeight="1" x14ac:dyDescent="0.25">
      <c r="C1747" s="122"/>
      <c r="D1747" s="117" t="s">
        <v>366</v>
      </c>
      <c r="E1747" s="123" t="s">
        <v>367</v>
      </c>
      <c r="F1747" s="123" t="s">
        <v>368</v>
      </c>
      <c r="G1747" s="124">
        <v>6.4000000000000001E-2</v>
      </c>
      <c r="H1747" s="125">
        <f>VLOOKUP(D1747,Upah,8,FALSE)</f>
        <v>125000</v>
      </c>
      <c r="I1747" s="126">
        <f>G1747*H1747</f>
        <v>8000</v>
      </c>
    </row>
    <row r="1748" spans="3:9" ht="15.95" customHeight="1" x14ac:dyDescent="0.25">
      <c r="C1748" s="122"/>
      <c r="D1748" s="117" t="s">
        <v>413</v>
      </c>
      <c r="E1748" s="123" t="s">
        <v>414</v>
      </c>
      <c r="F1748" s="123" t="s">
        <v>368</v>
      </c>
      <c r="G1748" s="124">
        <v>0.24399999999999999</v>
      </c>
      <c r="H1748" s="125">
        <f>VLOOKUP(D1748,Upah,8,FALSE)</f>
        <v>150000</v>
      </c>
      <c r="I1748" s="126">
        <f>G1748*H1748</f>
        <v>36600</v>
      </c>
    </row>
    <row r="1749" spans="3:9" ht="15.95" customHeight="1" x14ac:dyDescent="0.25">
      <c r="C1749" s="122"/>
      <c r="D1749" s="117" t="s">
        <v>662</v>
      </c>
      <c r="E1749" s="123" t="s">
        <v>663</v>
      </c>
      <c r="F1749" s="123" t="s">
        <v>368</v>
      </c>
      <c r="G1749" s="124">
        <v>0.128</v>
      </c>
      <c r="H1749" s="125">
        <f>VLOOKUP(D1749,Upah,8,FALSE)</f>
        <v>150000</v>
      </c>
      <c r="I1749" s="126">
        <f>G1749*H1749</f>
        <v>19200</v>
      </c>
    </row>
    <row r="1750" spans="3:9" ht="15.95" customHeight="1" x14ac:dyDescent="0.25">
      <c r="C1750" s="122"/>
      <c r="D1750" s="117" t="s">
        <v>371</v>
      </c>
      <c r="E1750" s="123" t="s">
        <v>372</v>
      </c>
      <c r="F1750" s="123" t="s">
        <v>368</v>
      </c>
      <c r="G1750" s="124">
        <v>3.4000000000000002E-2</v>
      </c>
      <c r="H1750" s="125">
        <f>VLOOKUP(D1750,Upah,8,FALSE)</f>
        <v>165000</v>
      </c>
      <c r="I1750" s="126">
        <f>G1750*H1750</f>
        <v>5610</v>
      </c>
    </row>
    <row r="1751" spans="3:9" ht="15.95" customHeight="1" thickBot="1" x14ac:dyDescent="0.3">
      <c r="C1751" s="122"/>
      <c r="D1751" s="117" t="s">
        <v>373</v>
      </c>
      <c r="E1751" s="123" t="s">
        <v>374</v>
      </c>
      <c r="F1751" s="123" t="s">
        <v>368</v>
      </c>
      <c r="G1751" s="124">
        <v>7.2999999999999995E-2</v>
      </c>
      <c r="H1751" s="125">
        <f>VLOOKUP(D1751,Upah,8,FALSE)</f>
        <v>170000</v>
      </c>
      <c r="I1751" s="126">
        <f>G1751*H1751</f>
        <v>12410</v>
      </c>
    </row>
    <row r="1752" spans="3:9" ht="15.95" customHeight="1" thickBot="1" x14ac:dyDescent="0.3">
      <c r="C1752" s="132"/>
      <c r="D1752" s="133"/>
      <c r="E1752" s="134"/>
      <c r="F1752" s="134"/>
      <c r="G1752" s="135" t="s">
        <v>375</v>
      </c>
      <c r="H1752" s="136"/>
      <c r="I1752" s="137">
        <f>SUM(I1747:I1751)</f>
        <v>81820</v>
      </c>
    </row>
    <row r="1753" spans="3:9" ht="15.95" customHeight="1" thickBot="1" x14ac:dyDescent="0.3">
      <c r="C1753" s="116" t="s">
        <v>376</v>
      </c>
      <c r="D1753" s="117" t="s">
        <v>377</v>
      </c>
      <c r="E1753" s="118"/>
      <c r="F1753" s="118"/>
      <c r="G1753" s="165"/>
      <c r="H1753" s="144"/>
      <c r="I1753" s="126"/>
    </row>
    <row r="1754" spans="3:9" ht="15.95" customHeight="1" thickBot="1" x14ac:dyDescent="0.3">
      <c r="C1754" s="132"/>
      <c r="D1754" s="133"/>
      <c r="E1754" s="134"/>
      <c r="F1754" s="134"/>
      <c r="G1754" s="135" t="s">
        <v>386</v>
      </c>
      <c r="H1754" s="136"/>
      <c r="I1754" s="137">
        <f>SUM(I1753)</f>
        <v>0</v>
      </c>
    </row>
    <row r="1755" spans="3:9" ht="15.95" customHeight="1" thickBot="1" x14ac:dyDescent="0.3">
      <c r="C1755" s="116" t="s">
        <v>387</v>
      </c>
      <c r="D1755" s="117" t="s">
        <v>388</v>
      </c>
      <c r="E1755" s="118"/>
      <c r="F1755" s="118"/>
      <c r="G1755" s="165"/>
      <c r="H1755" s="144">
        <f>IF(AND(D1755&lt;&gt;"",F1755&lt;&gt;""),IF(C1755="",IF(F1755="OH",VLOOKUP(D1755,[1]UPAH!$B$3:$G$32,7,0),VLOOKUP(D1755,[1]BAHAN!$A$2:$D$3,4,0)),0),0)</f>
        <v>0</v>
      </c>
      <c r="I1755" s="126">
        <f>G1755*H1755</f>
        <v>0</v>
      </c>
    </row>
    <row r="1756" spans="3:9" ht="15.95" customHeight="1" thickBot="1" x14ac:dyDescent="0.3">
      <c r="C1756" s="132"/>
      <c r="D1756" s="133"/>
      <c r="E1756" s="134"/>
      <c r="F1756" s="134"/>
      <c r="G1756" s="135" t="s">
        <v>389</v>
      </c>
      <c r="H1756" s="136"/>
      <c r="I1756" s="137">
        <f>I1755</f>
        <v>0</v>
      </c>
    </row>
    <row r="1757" spans="3:9" ht="15.95" customHeight="1" x14ac:dyDescent="0.25">
      <c r="C1757" s="158" t="s">
        <v>390</v>
      </c>
      <c r="D1757" s="159" t="s">
        <v>391</v>
      </c>
      <c r="E1757" s="160"/>
      <c r="F1757" s="160"/>
      <c r="G1757" s="161"/>
      <c r="H1757" s="162">
        <f>IF(AND(D1757&lt;&gt;"",F1757&lt;&gt;""),IF(C1757="",IF(F1757="OH",VLOOKUP(D1757,[1]UPAH!$B$3:$G$32,7,0),VLOOKUP(D1757,[1]BAHAN!$A$2:$D$3,4,0)),0),0)</f>
        <v>0</v>
      </c>
      <c r="I1757" s="126">
        <f>SUM(I1746:I1756)/2</f>
        <v>81820</v>
      </c>
    </row>
    <row r="1758" spans="3:9" ht="15.95" customHeight="1" thickBot="1" x14ac:dyDescent="0.3">
      <c r="C1758" s="147" t="s">
        <v>392</v>
      </c>
      <c r="D1758" s="148" t="s">
        <v>393</v>
      </c>
      <c r="E1758" s="149"/>
      <c r="F1758" s="149"/>
      <c r="G1758" s="164">
        <v>0.1</v>
      </c>
      <c r="H1758" s="151"/>
      <c r="I1758" s="146">
        <f>G1758*I1757</f>
        <v>8182</v>
      </c>
    </row>
    <row r="1759" spans="3:9" ht="15.95" customHeight="1" thickBot="1" x14ac:dyDescent="0.3">
      <c r="C1759" s="111" t="s">
        <v>394</v>
      </c>
      <c r="D1759" s="112" t="s">
        <v>395</v>
      </c>
      <c r="E1759" s="134"/>
      <c r="F1759" s="134"/>
      <c r="G1759" s="156"/>
      <c r="H1759" s="136">
        <f>IF(AND(D1759&lt;&gt;"",F1759&lt;&gt;""),IF(C1759="",IF(F1759="OH",VLOOKUP(D1759,[1]UPAH!$B$3:$G$32,7,0),VLOOKUP(D1759,[1]BAHAN!$A$2:$D$3,4,0)),0),0)</f>
        <v>0</v>
      </c>
      <c r="I1759" s="137">
        <f>ROUNDDOWN(I1757+I1758,0)</f>
        <v>90002</v>
      </c>
    </row>
    <row r="1760" spans="3:9" ht="15.95" customHeight="1" x14ac:dyDescent="0.25">
      <c r="C1760" s="109"/>
      <c r="D1760" s="109"/>
      <c r="G1760" s="157"/>
      <c r="H1760" s="166"/>
      <c r="I1760" s="110"/>
    </row>
    <row r="1761" spans="2:10" ht="15.95" customHeight="1" thickBot="1" x14ac:dyDescent="0.3">
      <c r="B1761" s="109" t="s">
        <v>664</v>
      </c>
      <c r="C1761" s="104" t="s">
        <v>665</v>
      </c>
      <c r="G1761" s="157"/>
      <c r="J1761" s="110">
        <f>I1776</f>
        <v>92554</v>
      </c>
    </row>
    <row r="1762" spans="2:10" ht="15.95" customHeight="1" thickBot="1" x14ac:dyDescent="0.3">
      <c r="C1762" s="111" t="s">
        <v>328</v>
      </c>
      <c r="D1762" s="112" t="s">
        <v>359</v>
      </c>
      <c r="E1762" s="113" t="s">
        <v>360</v>
      </c>
      <c r="F1762" s="113" t="s">
        <v>330</v>
      </c>
      <c r="G1762" s="114" t="s">
        <v>361</v>
      </c>
      <c r="H1762" s="112" t="s">
        <v>362</v>
      </c>
      <c r="I1762" s="115" t="s">
        <v>363</v>
      </c>
    </row>
    <row r="1763" spans="2:10" ht="15.95" customHeight="1" x14ac:dyDescent="0.25">
      <c r="C1763" s="116" t="s">
        <v>364</v>
      </c>
      <c r="D1763" s="117" t="s">
        <v>365</v>
      </c>
      <c r="E1763" s="118"/>
      <c r="F1763" s="118"/>
      <c r="G1763" s="165"/>
      <c r="H1763" s="144"/>
      <c r="I1763" s="126"/>
    </row>
    <row r="1764" spans="2:10" ht="15.95" customHeight="1" x14ac:dyDescent="0.25">
      <c r="C1764" s="122"/>
      <c r="D1764" s="117" t="s">
        <v>366</v>
      </c>
      <c r="E1764" s="123" t="s">
        <v>367</v>
      </c>
      <c r="F1764" s="123" t="s">
        <v>368</v>
      </c>
      <c r="G1764" s="124">
        <v>6.9000000000000006E-2</v>
      </c>
      <c r="H1764" s="125">
        <f>VLOOKUP(D1764,Upah,8,FALSE)</f>
        <v>125000</v>
      </c>
      <c r="I1764" s="126">
        <f>G1764*H1764</f>
        <v>8625</v>
      </c>
    </row>
    <row r="1765" spans="2:10" ht="15.95" customHeight="1" x14ac:dyDescent="0.25">
      <c r="C1765" s="122"/>
      <c r="D1765" s="117" t="s">
        <v>413</v>
      </c>
      <c r="E1765" s="123" t="s">
        <v>414</v>
      </c>
      <c r="F1765" s="123" t="s">
        <v>368</v>
      </c>
      <c r="G1765" s="124">
        <v>0.24199999999999999</v>
      </c>
      <c r="H1765" s="125">
        <f>VLOOKUP(D1765,Upah,8,FALSE)</f>
        <v>150000</v>
      </c>
      <c r="I1765" s="126">
        <f>G1765*H1765</f>
        <v>36300</v>
      </c>
    </row>
    <row r="1766" spans="2:10" ht="15.95" customHeight="1" x14ac:dyDescent="0.25">
      <c r="C1766" s="122"/>
      <c r="D1766" s="117" t="s">
        <v>662</v>
      </c>
      <c r="E1766" s="123" t="s">
        <v>663</v>
      </c>
      <c r="F1766" s="123" t="s">
        <v>368</v>
      </c>
      <c r="G1766" s="124">
        <v>0.13800000000000001</v>
      </c>
      <c r="H1766" s="125">
        <f>VLOOKUP(D1766,Upah,8,FALSE)</f>
        <v>150000</v>
      </c>
      <c r="I1766" s="126">
        <f>G1766*H1766</f>
        <v>20700</v>
      </c>
    </row>
    <row r="1767" spans="2:10" ht="15.95" customHeight="1" x14ac:dyDescent="0.25">
      <c r="C1767" s="122"/>
      <c r="D1767" s="117" t="s">
        <v>371</v>
      </c>
      <c r="E1767" s="123" t="s">
        <v>372</v>
      </c>
      <c r="F1767" s="123" t="s">
        <v>368</v>
      </c>
      <c r="G1767" s="124">
        <v>3.6999999999999998E-2</v>
      </c>
      <c r="H1767" s="125">
        <f>VLOOKUP(D1767,Upah,8,FALSE)</f>
        <v>165000</v>
      </c>
      <c r="I1767" s="126">
        <f>G1767*H1767</f>
        <v>6105</v>
      </c>
    </row>
    <row r="1768" spans="2:10" ht="15.95" customHeight="1" thickBot="1" x14ac:dyDescent="0.3">
      <c r="C1768" s="122"/>
      <c r="D1768" s="117" t="s">
        <v>373</v>
      </c>
      <c r="E1768" s="123" t="s">
        <v>374</v>
      </c>
      <c r="F1768" s="123" t="s">
        <v>368</v>
      </c>
      <c r="G1768" s="124">
        <v>7.2999999999999995E-2</v>
      </c>
      <c r="H1768" s="125">
        <f>VLOOKUP(D1768,Upah,8,FALSE)</f>
        <v>170000</v>
      </c>
      <c r="I1768" s="126">
        <f>G1768*H1768</f>
        <v>12410</v>
      </c>
    </row>
    <row r="1769" spans="2:10" ht="15.95" customHeight="1" thickBot="1" x14ac:dyDescent="0.3">
      <c r="C1769" s="132"/>
      <c r="D1769" s="133"/>
      <c r="E1769" s="134"/>
      <c r="F1769" s="134"/>
      <c r="G1769" s="135" t="s">
        <v>375</v>
      </c>
      <c r="H1769" s="136"/>
      <c r="I1769" s="137">
        <f>SUM(I1764:I1768)</f>
        <v>84140</v>
      </c>
    </row>
    <row r="1770" spans="2:10" ht="15.95" customHeight="1" thickBot="1" x14ac:dyDescent="0.3">
      <c r="C1770" s="116" t="s">
        <v>376</v>
      </c>
      <c r="D1770" s="117" t="s">
        <v>377</v>
      </c>
      <c r="E1770" s="118"/>
      <c r="F1770" s="118"/>
      <c r="G1770" s="165"/>
      <c r="H1770" s="144"/>
      <c r="I1770" s="126"/>
    </row>
    <row r="1771" spans="2:10" ht="15.95" customHeight="1" thickBot="1" x14ac:dyDescent="0.3">
      <c r="C1771" s="132"/>
      <c r="D1771" s="133"/>
      <c r="E1771" s="134"/>
      <c r="F1771" s="134"/>
      <c r="G1771" s="135" t="s">
        <v>386</v>
      </c>
      <c r="H1771" s="136"/>
      <c r="I1771" s="137">
        <f>SUM(I1770)</f>
        <v>0</v>
      </c>
    </row>
    <row r="1772" spans="2:10" ht="15.95" customHeight="1" thickBot="1" x14ac:dyDescent="0.3">
      <c r="C1772" s="116" t="s">
        <v>387</v>
      </c>
      <c r="D1772" s="117" t="s">
        <v>388</v>
      </c>
      <c r="E1772" s="118"/>
      <c r="F1772" s="118"/>
      <c r="G1772" s="165"/>
      <c r="H1772" s="144">
        <f>IF(AND(D1772&lt;&gt;"",F1772&lt;&gt;""),IF(C1772="",IF(F1772="OH",VLOOKUP(D1772,[1]UPAH!$B$3:$G$32,7,0),VLOOKUP(D1772,[1]BAHAN!$A$2:$D$3,4,0)),0),0)</f>
        <v>0</v>
      </c>
      <c r="I1772" s="126">
        <f>G1772*H1772</f>
        <v>0</v>
      </c>
    </row>
    <row r="1773" spans="2:10" ht="15.95" customHeight="1" thickBot="1" x14ac:dyDescent="0.3">
      <c r="C1773" s="132"/>
      <c r="D1773" s="133"/>
      <c r="E1773" s="134"/>
      <c r="F1773" s="134"/>
      <c r="G1773" s="135" t="s">
        <v>389</v>
      </c>
      <c r="H1773" s="136"/>
      <c r="I1773" s="137">
        <f>I1772</f>
        <v>0</v>
      </c>
    </row>
    <row r="1774" spans="2:10" ht="15.95" customHeight="1" x14ac:dyDescent="0.25">
      <c r="C1774" s="158" t="s">
        <v>390</v>
      </c>
      <c r="D1774" s="159" t="s">
        <v>391</v>
      </c>
      <c r="E1774" s="160"/>
      <c r="F1774" s="160"/>
      <c r="G1774" s="161"/>
      <c r="H1774" s="162">
        <f>IF(AND(D1774&lt;&gt;"",F1774&lt;&gt;""),IF(C1774="",IF(F1774="OH",VLOOKUP(D1774,[1]UPAH!$B$3:$G$32,7,0),VLOOKUP(D1774,[1]BAHAN!$A$2:$D$3,4,0)),0),0)</f>
        <v>0</v>
      </c>
      <c r="I1774" s="126">
        <f>SUM(I1763:I1773)/2</f>
        <v>84140</v>
      </c>
    </row>
    <row r="1775" spans="2:10" ht="15.95" customHeight="1" thickBot="1" x14ac:dyDescent="0.3">
      <c r="C1775" s="147" t="s">
        <v>392</v>
      </c>
      <c r="D1775" s="148" t="s">
        <v>393</v>
      </c>
      <c r="E1775" s="149"/>
      <c r="F1775" s="149"/>
      <c r="G1775" s="164">
        <v>0.1</v>
      </c>
      <c r="H1775" s="151"/>
      <c r="I1775" s="146">
        <f>G1775*I1774</f>
        <v>8414</v>
      </c>
    </row>
    <row r="1776" spans="2:10" ht="15.95" customHeight="1" thickBot="1" x14ac:dyDescent="0.3">
      <c r="C1776" s="111" t="s">
        <v>394</v>
      </c>
      <c r="D1776" s="112" t="s">
        <v>395</v>
      </c>
      <c r="E1776" s="134"/>
      <c r="F1776" s="134"/>
      <c r="G1776" s="156"/>
      <c r="H1776" s="136">
        <f>IF(AND(D1776&lt;&gt;"",F1776&lt;&gt;""),IF(C1776="",IF(F1776="OH",VLOOKUP(D1776,[1]UPAH!$B$3:$G$32,7,0),VLOOKUP(D1776,[1]BAHAN!$A$2:$D$3,4,0)),0),0)</f>
        <v>0</v>
      </c>
      <c r="I1776" s="137">
        <f>ROUNDDOWN(I1774+I1775,0)</f>
        <v>92554</v>
      </c>
    </row>
    <row r="1777" spans="2:10" ht="15.95" customHeight="1" x14ac:dyDescent="0.25">
      <c r="C1777" s="109"/>
      <c r="D1777" s="109"/>
      <c r="G1777" s="157"/>
      <c r="H1777" s="166"/>
      <c r="I1777" s="110"/>
    </row>
    <row r="1778" spans="2:10" ht="15.95" customHeight="1" thickBot="1" x14ac:dyDescent="0.3">
      <c r="B1778" s="109" t="s">
        <v>666</v>
      </c>
      <c r="C1778" s="104" t="s">
        <v>667</v>
      </c>
      <c r="G1778" s="157"/>
      <c r="J1778" s="110">
        <f>I1793</f>
        <v>83303</v>
      </c>
    </row>
    <row r="1779" spans="2:10" ht="15.95" customHeight="1" thickBot="1" x14ac:dyDescent="0.3">
      <c r="C1779" s="111" t="s">
        <v>328</v>
      </c>
      <c r="D1779" s="112" t="s">
        <v>359</v>
      </c>
      <c r="E1779" s="113" t="s">
        <v>360</v>
      </c>
      <c r="F1779" s="113" t="s">
        <v>330</v>
      </c>
      <c r="G1779" s="114" t="s">
        <v>361</v>
      </c>
      <c r="H1779" s="112" t="s">
        <v>362</v>
      </c>
      <c r="I1779" s="115" t="s">
        <v>363</v>
      </c>
    </row>
    <row r="1780" spans="2:10" ht="15.95" customHeight="1" x14ac:dyDescent="0.25">
      <c r="C1780" s="116" t="s">
        <v>364</v>
      </c>
      <c r="D1780" s="117" t="s">
        <v>365</v>
      </c>
      <c r="E1780" s="118"/>
      <c r="F1780" s="118"/>
      <c r="G1780" s="165"/>
      <c r="H1780" s="144"/>
      <c r="I1780" s="126"/>
    </row>
    <row r="1781" spans="2:10" ht="15.95" customHeight="1" x14ac:dyDescent="0.25">
      <c r="C1781" s="122"/>
      <c r="D1781" s="117" t="s">
        <v>366</v>
      </c>
      <c r="E1781" s="123" t="s">
        <v>367</v>
      </c>
      <c r="F1781" s="123" t="s">
        <v>368</v>
      </c>
      <c r="G1781" s="124">
        <v>6.0999999999999999E-2</v>
      </c>
      <c r="H1781" s="125">
        <f>VLOOKUP(D1781,Upah,8,FALSE)</f>
        <v>125000</v>
      </c>
      <c r="I1781" s="126">
        <f>G1781*H1781</f>
        <v>7625</v>
      </c>
    </row>
    <row r="1782" spans="2:10" ht="15.95" customHeight="1" x14ac:dyDescent="0.25">
      <c r="C1782" s="122"/>
      <c r="D1782" s="117" t="s">
        <v>413</v>
      </c>
      <c r="E1782" s="123" t="s">
        <v>414</v>
      </c>
      <c r="F1782" s="123" t="s">
        <v>368</v>
      </c>
      <c r="G1782" s="124">
        <v>0.21299999999999999</v>
      </c>
      <c r="H1782" s="125">
        <f>VLOOKUP(D1782,Upah,8,FALSE)</f>
        <v>150000</v>
      </c>
      <c r="I1782" s="126">
        <f>G1782*H1782</f>
        <v>31950</v>
      </c>
    </row>
    <row r="1783" spans="2:10" ht="15.95" customHeight="1" x14ac:dyDescent="0.25">
      <c r="C1783" s="122"/>
      <c r="D1783" s="117" t="s">
        <v>662</v>
      </c>
      <c r="E1783" s="123" t="s">
        <v>663</v>
      </c>
      <c r="F1783" s="123" t="s">
        <v>368</v>
      </c>
      <c r="G1783" s="124">
        <v>0.122</v>
      </c>
      <c r="H1783" s="125">
        <f>VLOOKUP(D1783,Upah,8,FALSE)</f>
        <v>150000</v>
      </c>
      <c r="I1783" s="126">
        <f>G1783*H1783</f>
        <v>18300</v>
      </c>
    </row>
    <row r="1784" spans="2:10" ht="15.95" customHeight="1" x14ac:dyDescent="0.25">
      <c r="C1784" s="122"/>
      <c r="D1784" s="117" t="s">
        <v>371</v>
      </c>
      <c r="E1784" s="123" t="s">
        <v>372</v>
      </c>
      <c r="F1784" s="123" t="s">
        <v>368</v>
      </c>
      <c r="G1784" s="124">
        <v>3.3000000000000002E-2</v>
      </c>
      <c r="H1784" s="125">
        <f>VLOOKUP(D1784,Upah,8,FALSE)</f>
        <v>165000</v>
      </c>
      <c r="I1784" s="126">
        <f>G1784*H1784</f>
        <v>5445</v>
      </c>
    </row>
    <row r="1785" spans="2:10" ht="15.95" customHeight="1" thickBot="1" x14ac:dyDescent="0.3">
      <c r="C1785" s="122"/>
      <c r="D1785" s="117" t="s">
        <v>373</v>
      </c>
      <c r="E1785" s="123" t="s">
        <v>374</v>
      </c>
      <c r="F1785" s="123" t="s">
        <v>368</v>
      </c>
      <c r="G1785" s="124">
        <v>7.2999999999999995E-2</v>
      </c>
      <c r="H1785" s="125">
        <f>VLOOKUP(D1785,Upah,8,FALSE)</f>
        <v>170000</v>
      </c>
      <c r="I1785" s="126">
        <f>G1785*H1785</f>
        <v>12410</v>
      </c>
    </row>
    <row r="1786" spans="2:10" ht="15.95" customHeight="1" thickBot="1" x14ac:dyDescent="0.3">
      <c r="C1786" s="132"/>
      <c r="D1786" s="133"/>
      <c r="E1786" s="134"/>
      <c r="F1786" s="134"/>
      <c r="G1786" s="135" t="s">
        <v>375</v>
      </c>
      <c r="H1786" s="136"/>
      <c r="I1786" s="137">
        <f>SUM(I1781:I1785)</f>
        <v>75730</v>
      </c>
    </row>
    <row r="1787" spans="2:10" ht="15.95" customHeight="1" thickBot="1" x14ac:dyDescent="0.3">
      <c r="C1787" s="116" t="s">
        <v>376</v>
      </c>
      <c r="D1787" s="117" t="s">
        <v>377</v>
      </c>
      <c r="E1787" s="118"/>
      <c r="F1787" s="118"/>
      <c r="G1787" s="165"/>
      <c r="H1787" s="144"/>
      <c r="I1787" s="126"/>
    </row>
    <row r="1788" spans="2:10" ht="15.95" customHeight="1" thickBot="1" x14ac:dyDescent="0.3">
      <c r="C1788" s="132"/>
      <c r="D1788" s="133"/>
      <c r="E1788" s="134"/>
      <c r="F1788" s="134"/>
      <c r="G1788" s="135" t="s">
        <v>386</v>
      </c>
      <c r="H1788" s="136"/>
      <c r="I1788" s="137">
        <f>SUM(I1787)</f>
        <v>0</v>
      </c>
    </row>
    <row r="1789" spans="2:10" ht="15.95" customHeight="1" thickBot="1" x14ac:dyDescent="0.3">
      <c r="C1789" s="116" t="s">
        <v>387</v>
      </c>
      <c r="D1789" s="117" t="s">
        <v>388</v>
      </c>
      <c r="E1789" s="118"/>
      <c r="F1789" s="118"/>
      <c r="G1789" s="165"/>
      <c r="H1789" s="144"/>
      <c r="I1789" s="126"/>
    </row>
    <row r="1790" spans="2:10" ht="15.95" customHeight="1" thickBot="1" x14ac:dyDescent="0.3">
      <c r="C1790" s="132"/>
      <c r="D1790" s="133"/>
      <c r="E1790" s="134"/>
      <c r="F1790" s="134"/>
      <c r="G1790" s="135" t="s">
        <v>389</v>
      </c>
      <c r="H1790" s="136"/>
      <c r="I1790" s="137">
        <f>I1789</f>
        <v>0</v>
      </c>
    </row>
    <row r="1791" spans="2:10" ht="15.95" customHeight="1" x14ac:dyDescent="0.25">
      <c r="C1791" s="158" t="s">
        <v>390</v>
      </c>
      <c r="D1791" s="159" t="s">
        <v>391</v>
      </c>
      <c r="E1791" s="160"/>
      <c r="F1791" s="160"/>
      <c r="G1791" s="161"/>
      <c r="H1791" s="162">
        <f>IF(AND(D1791&lt;&gt;"",F1791&lt;&gt;""),IF(C1791="",IF(F1791="OH",VLOOKUP(D1791,[1]UPAH!$B$3:$G$32,7,0),VLOOKUP(D1791,[1]BAHAN!$A$2:$D$3,4,0)),0),0)</f>
        <v>0</v>
      </c>
      <c r="I1791" s="126">
        <f>SUM(I1780:I1790)/2</f>
        <v>75730</v>
      </c>
    </row>
    <row r="1792" spans="2:10" ht="15.95" customHeight="1" thickBot="1" x14ac:dyDescent="0.3">
      <c r="C1792" s="147" t="s">
        <v>392</v>
      </c>
      <c r="D1792" s="148" t="s">
        <v>393</v>
      </c>
      <c r="E1792" s="149"/>
      <c r="F1792" s="149"/>
      <c r="G1792" s="164">
        <v>0.1</v>
      </c>
      <c r="H1792" s="151"/>
      <c r="I1792" s="146">
        <f>G1792*I1791</f>
        <v>7573</v>
      </c>
    </row>
    <row r="1793" spans="2:10" ht="15.95" customHeight="1" thickBot="1" x14ac:dyDescent="0.3">
      <c r="C1793" s="111" t="s">
        <v>394</v>
      </c>
      <c r="D1793" s="112" t="s">
        <v>395</v>
      </c>
      <c r="E1793" s="134"/>
      <c r="F1793" s="134"/>
      <c r="G1793" s="156"/>
      <c r="H1793" s="136">
        <f>IF(AND(D1793&lt;&gt;"",F1793&lt;&gt;""),IF(C1793="",IF(F1793="OH",VLOOKUP(D1793,[1]UPAH!$B$3:$G$32,7,0),VLOOKUP(D1793,[1]BAHAN!$A$2:$D$3,4,0)),0),0)</f>
        <v>0</v>
      </c>
      <c r="I1793" s="137">
        <f>ROUNDDOWN(I1791+I1792,0)</f>
        <v>83303</v>
      </c>
    </row>
    <row r="1794" spans="2:10" ht="15.95" customHeight="1" x14ac:dyDescent="0.25">
      <c r="C1794" s="109"/>
      <c r="D1794" s="109"/>
      <c r="G1794" s="157"/>
      <c r="H1794" s="166"/>
      <c r="I1794" s="110"/>
    </row>
    <row r="1795" spans="2:10" ht="15.95" customHeight="1" thickBot="1" x14ac:dyDescent="0.3">
      <c r="B1795" s="104" t="s">
        <v>668</v>
      </c>
      <c r="C1795" s="174" t="s">
        <v>669</v>
      </c>
      <c r="D1795" s="109"/>
      <c r="G1795" s="157"/>
      <c r="H1795" s="166"/>
      <c r="I1795" s="110"/>
      <c r="J1795" s="110">
        <f>I1815</f>
        <v>134334</v>
      </c>
    </row>
    <row r="1796" spans="2:10" ht="15.95" customHeight="1" thickBot="1" x14ac:dyDescent="0.3">
      <c r="C1796" s="111" t="s">
        <v>328</v>
      </c>
      <c r="D1796" s="112" t="s">
        <v>359</v>
      </c>
      <c r="E1796" s="113" t="s">
        <v>360</v>
      </c>
      <c r="F1796" s="113" t="s">
        <v>330</v>
      </c>
      <c r="G1796" s="114" t="s">
        <v>361</v>
      </c>
      <c r="H1796" s="112" t="s">
        <v>362</v>
      </c>
      <c r="I1796" s="115" t="s">
        <v>363</v>
      </c>
    </row>
    <row r="1797" spans="2:10" ht="15.95" customHeight="1" x14ac:dyDescent="0.25">
      <c r="C1797" s="138" t="s">
        <v>364</v>
      </c>
      <c r="D1797" s="139" t="s">
        <v>365</v>
      </c>
      <c r="E1797" s="140"/>
      <c r="F1797" s="140"/>
      <c r="G1797" s="141"/>
      <c r="H1797" s="142"/>
      <c r="I1797" s="143"/>
    </row>
    <row r="1798" spans="2:10" ht="15.95" customHeight="1" x14ac:dyDescent="0.25">
      <c r="C1798" s="183"/>
      <c r="D1798" s="184" t="s">
        <v>670</v>
      </c>
      <c r="E1798" s="185" t="s">
        <v>671</v>
      </c>
      <c r="F1798" s="185" t="s">
        <v>368</v>
      </c>
      <c r="G1798" s="186">
        <v>6.7000000000000004E-2</v>
      </c>
      <c r="H1798" s="125">
        <f t="shared" ref="H1798:H1804" si="63">VLOOKUP(D1798,Upah,8,FALSE)</f>
        <v>165000</v>
      </c>
      <c r="I1798" s="126">
        <f t="shared" ref="I1798:I1804" si="64">G1798*H1798</f>
        <v>11055</v>
      </c>
    </row>
    <row r="1799" spans="2:10" ht="15.95" customHeight="1" x14ac:dyDescent="0.25">
      <c r="C1799" s="183"/>
      <c r="D1799" s="184" t="s">
        <v>672</v>
      </c>
      <c r="E1799" s="185" t="s">
        <v>673</v>
      </c>
      <c r="F1799" s="185" t="s">
        <v>368</v>
      </c>
      <c r="G1799" s="186">
        <v>6.7000000000000004E-2</v>
      </c>
      <c r="H1799" s="125">
        <f t="shared" si="63"/>
        <v>148500</v>
      </c>
      <c r="I1799" s="126">
        <f t="shared" si="64"/>
        <v>9949.5</v>
      </c>
    </row>
    <row r="1800" spans="2:10" ht="15.95" customHeight="1" x14ac:dyDescent="0.25">
      <c r="C1800" s="183"/>
      <c r="D1800" s="184" t="s">
        <v>366</v>
      </c>
      <c r="E1800" s="185" t="s">
        <v>367</v>
      </c>
      <c r="F1800" s="185" t="s">
        <v>368</v>
      </c>
      <c r="G1800" s="186">
        <v>6.7000000000000004E-2</v>
      </c>
      <c r="H1800" s="125">
        <f t="shared" si="63"/>
        <v>125000</v>
      </c>
      <c r="I1800" s="126">
        <f t="shared" si="64"/>
        <v>8375</v>
      </c>
    </row>
    <row r="1801" spans="2:10" ht="15.95" customHeight="1" x14ac:dyDescent="0.25">
      <c r="C1801" s="183"/>
      <c r="D1801" s="184" t="s">
        <v>413</v>
      </c>
      <c r="E1801" s="185" t="s">
        <v>414</v>
      </c>
      <c r="F1801" s="185" t="s">
        <v>368</v>
      </c>
      <c r="G1801" s="186">
        <v>6.7000000000000004E-2</v>
      </c>
      <c r="H1801" s="125">
        <f t="shared" si="63"/>
        <v>150000</v>
      </c>
      <c r="I1801" s="126">
        <f t="shared" si="64"/>
        <v>10050</v>
      </c>
    </row>
    <row r="1802" spans="2:10" ht="15.95" customHeight="1" x14ac:dyDescent="0.25">
      <c r="C1802" s="183"/>
      <c r="D1802" s="184" t="s">
        <v>674</v>
      </c>
      <c r="E1802" s="185" t="s">
        <v>675</v>
      </c>
      <c r="F1802" s="185" t="s">
        <v>368</v>
      </c>
      <c r="G1802" s="186">
        <v>0.13400000000000001</v>
      </c>
      <c r="H1802" s="125">
        <f t="shared" si="63"/>
        <v>150000</v>
      </c>
      <c r="I1802" s="126">
        <f t="shared" si="64"/>
        <v>20100</v>
      </c>
    </row>
    <row r="1803" spans="2:10" ht="15.95" customHeight="1" x14ac:dyDescent="0.25">
      <c r="C1803" s="183"/>
      <c r="D1803" s="184" t="s">
        <v>429</v>
      </c>
      <c r="E1803" s="185" t="s">
        <v>372</v>
      </c>
      <c r="F1803" s="185" t="s">
        <v>368</v>
      </c>
      <c r="G1803" s="186">
        <v>6.7000000000000004E-2</v>
      </c>
      <c r="H1803" s="125">
        <f t="shared" si="63"/>
        <v>165000</v>
      </c>
      <c r="I1803" s="126">
        <f t="shared" si="64"/>
        <v>11055</v>
      </c>
    </row>
    <row r="1804" spans="2:10" ht="15.95" customHeight="1" thickBot="1" x14ac:dyDescent="0.3">
      <c r="C1804" s="187"/>
      <c r="D1804" s="188" t="s">
        <v>373</v>
      </c>
      <c r="E1804" s="189" t="s">
        <v>374</v>
      </c>
      <c r="F1804" s="189" t="s">
        <v>368</v>
      </c>
      <c r="G1804" s="190">
        <v>6.7000000000000004E-2</v>
      </c>
      <c r="H1804" s="125">
        <f t="shared" si="63"/>
        <v>170000</v>
      </c>
      <c r="I1804" s="146">
        <f t="shared" si="64"/>
        <v>11390</v>
      </c>
    </row>
    <row r="1805" spans="2:10" ht="15.95" customHeight="1" thickBot="1" x14ac:dyDescent="0.3">
      <c r="C1805" s="132"/>
      <c r="D1805" s="133"/>
      <c r="E1805" s="134"/>
      <c r="F1805" s="134"/>
      <c r="G1805" s="135" t="s">
        <v>375</v>
      </c>
      <c r="H1805" s="136"/>
      <c r="I1805" s="137">
        <f>SUM(I1800:I1804)</f>
        <v>60970</v>
      </c>
    </row>
    <row r="1806" spans="2:10" ht="15.95" customHeight="1" x14ac:dyDescent="0.25">
      <c r="C1806" s="138" t="s">
        <v>376</v>
      </c>
      <c r="D1806" s="139" t="s">
        <v>377</v>
      </c>
      <c r="E1806" s="140"/>
      <c r="F1806" s="140"/>
      <c r="G1806" s="141"/>
      <c r="H1806" s="142"/>
      <c r="I1806" s="143"/>
    </row>
    <row r="1807" spans="2:10" ht="15.95" customHeight="1" thickBot="1" x14ac:dyDescent="0.3">
      <c r="C1807" s="187"/>
      <c r="D1807" s="191" t="s">
        <v>676</v>
      </c>
      <c r="E1807" s="189"/>
      <c r="F1807" s="189" t="s">
        <v>636</v>
      </c>
      <c r="G1807" s="190">
        <v>6.6760000000000002</v>
      </c>
      <c r="H1807" s="144">
        <f>VLOOKUP(D1807,Bahan,6,FALSE)</f>
        <v>10540</v>
      </c>
      <c r="I1807" s="146">
        <f>G1807*H1807</f>
        <v>70365.040000000008</v>
      </c>
    </row>
    <row r="1808" spans="2:10" ht="15.95" customHeight="1" thickBot="1" x14ac:dyDescent="0.3">
      <c r="C1808" s="132"/>
      <c r="D1808" s="133"/>
      <c r="E1808" s="134"/>
      <c r="F1808" s="134"/>
      <c r="G1808" s="135" t="s">
        <v>386</v>
      </c>
      <c r="H1808" s="136"/>
      <c r="I1808" s="137">
        <f>SUM(I1807)</f>
        <v>70365.040000000008</v>
      </c>
    </row>
    <row r="1809" spans="3:9" ht="15.95" customHeight="1" x14ac:dyDescent="0.25">
      <c r="C1809" s="138" t="s">
        <v>387</v>
      </c>
      <c r="D1809" s="139" t="s">
        <v>388</v>
      </c>
      <c r="E1809" s="140"/>
      <c r="F1809" s="140"/>
      <c r="G1809" s="141"/>
      <c r="H1809" s="142"/>
      <c r="I1809" s="143"/>
    </row>
    <row r="1810" spans="3:9" ht="15.95" customHeight="1" x14ac:dyDescent="0.25">
      <c r="C1810" s="183"/>
      <c r="D1810" s="184" t="s">
        <v>677</v>
      </c>
      <c r="E1810" s="192"/>
      <c r="F1810" s="185" t="s">
        <v>678</v>
      </c>
      <c r="G1810" s="186">
        <v>6.7000000000000004E-2</v>
      </c>
      <c r="H1810" s="144"/>
      <c r="I1810" s="126">
        <f>G1810*H1810</f>
        <v>0</v>
      </c>
    </row>
    <row r="1811" spans="3:9" ht="15.95" customHeight="1" thickBot="1" x14ac:dyDescent="0.3">
      <c r="C1811" s="187"/>
      <c r="D1811" s="188" t="s">
        <v>679</v>
      </c>
      <c r="E1811" s="193"/>
      <c r="F1811" s="189" t="s">
        <v>680</v>
      </c>
      <c r="G1811" s="190">
        <v>1.1000000000000001</v>
      </c>
      <c r="H1811" s="155"/>
      <c r="I1811" s="146">
        <f>G1811*H1811</f>
        <v>0</v>
      </c>
    </row>
    <row r="1812" spans="3:9" ht="15.95" customHeight="1" thickBot="1" x14ac:dyDescent="0.3">
      <c r="C1812" s="132"/>
      <c r="D1812" s="133"/>
      <c r="E1812" s="134"/>
      <c r="F1812" s="134"/>
      <c r="G1812" s="135" t="s">
        <v>389</v>
      </c>
      <c r="H1812" s="136"/>
      <c r="I1812" s="137">
        <f>SUM(I1810:I1811)</f>
        <v>0</v>
      </c>
    </row>
    <row r="1813" spans="3:9" ht="15.95" customHeight="1" thickBot="1" x14ac:dyDescent="0.3">
      <c r="C1813" s="147" t="s">
        <v>390</v>
      </c>
      <c r="D1813" s="148" t="s">
        <v>391</v>
      </c>
      <c r="E1813" s="149"/>
      <c r="F1813" s="149"/>
      <c r="G1813" s="150"/>
      <c r="H1813" s="151">
        <f>IF(AND(D1813&lt;&gt;"",F1813&lt;&gt;""),IF(C1813="",IF(F1813="OH",VLOOKUP(D1813,[1]UPAH!$B$3:$G$32,7,0),VLOOKUP(D1813,[1]BAHAN!$A$2:$D$3,4,0)),0),0)</f>
        <v>0</v>
      </c>
      <c r="I1813" s="152">
        <f>SUM(I1802:I1812)/2</f>
        <v>122122.54000000001</v>
      </c>
    </row>
    <row r="1814" spans="3:9" ht="15.95" customHeight="1" thickBot="1" x14ac:dyDescent="0.3">
      <c r="C1814" s="111" t="s">
        <v>392</v>
      </c>
      <c r="D1814" s="112" t="s">
        <v>393</v>
      </c>
      <c r="E1814" s="134"/>
      <c r="F1814" s="134"/>
      <c r="G1814" s="194">
        <v>0.1</v>
      </c>
      <c r="H1814" s="136"/>
      <c r="I1814" s="137">
        <f>G1814*I1813</f>
        <v>12212.254000000001</v>
      </c>
    </row>
    <row r="1815" spans="3:9" ht="15.95" customHeight="1" thickBot="1" x14ac:dyDescent="0.3">
      <c r="C1815" s="195" t="s">
        <v>394</v>
      </c>
      <c r="D1815" s="196" t="s">
        <v>395</v>
      </c>
      <c r="E1815" s="197"/>
      <c r="F1815" s="197"/>
      <c r="G1815" s="198"/>
      <c r="H1815" s="199">
        <f>IF(AND(D1815&lt;&gt;"",F1815&lt;&gt;""),IF(C1815="",IF(F1815="OH",VLOOKUP(D1815,[1]UPAH!$B$3:$G$32,7,0),VLOOKUP(D1815,[1]BAHAN!$A$2:$D$3,4,0)),0),0)</f>
        <v>0</v>
      </c>
      <c r="I1815" s="200">
        <f>ROUNDDOWN(I1813+I1814,0)</f>
        <v>134334</v>
      </c>
    </row>
    <row r="1816" spans="3:9" ht="15.95" customHeight="1" x14ac:dyDescent="0.25">
      <c r="C1816" s="109"/>
      <c r="D1816" s="109"/>
      <c r="G1816" s="157"/>
      <c r="H1816" s="166"/>
      <c r="I1816" s="110"/>
    </row>
    <row r="1817" spans="3:9" ht="15.95" customHeight="1" x14ac:dyDescent="0.25">
      <c r="C1817" s="582" t="s">
        <v>681</v>
      </c>
      <c r="D1817" s="109"/>
      <c r="G1817" s="157"/>
      <c r="H1817" s="166"/>
      <c r="I1817" s="110"/>
    </row>
    <row r="1818" spans="3:9" ht="15.95" hidden="1" customHeight="1" x14ac:dyDescent="0.25">
      <c r="C1818" s="109"/>
      <c r="G1818" s="157"/>
      <c r="H1818" s="166"/>
      <c r="I1818" s="110"/>
    </row>
    <row r="1819" spans="3:9" ht="15.95" customHeight="1" x14ac:dyDescent="0.25">
      <c r="C1819" s="109"/>
      <c r="G1819" s="157"/>
      <c r="H1819" s="166"/>
      <c r="I1819" s="110"/>
    </row>
    <row r="1820" spans="3:9" ht="15.95" customHeight="1" x14ac:dyDescent="0.25">
      <c r="C1820" s="109"/>
      <c r="D1820" s="578" t="s">
        <v>682</v>
      </c>
      <c r="E1820" s="579" t="s">
        <v>683</v>
      </c>
      <c r="F1820" s="579"/>
      <c r="G1820" s="157"/>
      <c r="H1820" s="166"/>
      <c r="I1820" s="110"/>
    </row>
    <row r="1821" spans="3:9" ht="15.95" customHeight="1" x14ac:dyDescent="0.25">
      <c r="C1821" s="109"/>
      <c r="E1821" s="580" t="s">
        <v>684</v>
      </c>
      <c r="F1821" s="580"/>
      <c r="G1821" s="157"/>
      <c r="H1821" s="166"/>
      <c r="I1821" s="110"/>
    </row>
    <row r="1822" spans="3:9" ht="15.95" customHeight="1" x14ac:dyDescent="0.25">
      <c r="C1822" s="109"/>
      <c r="D1822" s="174">
        <v>1</v>
      </c>
      <c r="E1822" s="581">
        <v>1</v>
      </c>
      <c r="G1822" s="157"/>
      <c r="H1822" s="166"/>
      <c r="I1822" s="110"/>
    </row>
    <row r="1823" spans="3:9" ht="15.95" customHeight="1" x14ac:dyDescent="0.25">
      <c r="C1823" s="109"/>
      <c r="D1823" s="174">
        <v>2</v>
      </c>
      <c r="E1823" s="581">
        <v>1</v>
      </c>
      <c r="G1823" s="157"/>
      <c r="H1823" s="166"/>
      <c r="I1823" s="110"/>
    </row>
    <row r="1824" spans="3:9" ht="15.95" customHeight="1" x14ac:dyDescent="0.25">
      <c r="C1824" s="109"/>
      <c r="D1824" s="174">
        <v>3</v>
      </c>
      <c r="E1824" s="581">
        <v>1</v>
      </c>
      <c r="G1824" s="157"/>
      <c r="H1824" s="166"/>
      <c r="I1824" s="110"/>
    </row>
    <row r="1825" spans="3:9" ht="15.95" customHeight="1" x14ac:dyDescent="0.25">
      <c r="C1825" s="109"/>
      <c r="D1825" s="174">
        <v>4</v>
      </c>
      <c r="E1825" s="581">
        <v>1</v>
      </c>
      <c r="G1825" s="157"/>
      <c r="H1825" s="166"/>
      <c r="I1825" s="110"/>
    </row>
    <row r="1826" spans="3:9" ht="15.95" customHeight="1" x14ac:dyDescent="0.25">
      <c r="C1826" s="109"/>
      <c r="D1826" s="174">
        <v>5</v>
      </c>
      <c r="E1826" s="581">
        <v>1</v>
      </c>
      <c r="G1826" s="157"/>
      <c r="H1826" s="166"/>
      <c r="I1826" s="110"/>
    </row>
    <row r="1827" spans="3:9" ht="15.95" customHeight="1" x14ac:dyDescent="0.25">
      <c r="C1827" s="109"/>
      <c r="D1827" s="174">
        <v>6</v>
      </c>
      <c r="E1827" s="581">
        <v>1</v>
      </c>
      <c r="G1827" s="157"/>
      <c r="H1827" s="166"/>
      <c r="I1827" s="110"/>
    </row>
    <row r="1828" spans="3:9" ht="15.95" customHeight="1" x14ac:dyDescent="0.25">
      <c r="C1828" s="109"/>
      <c r="D1828" s="174">
        <v>7</v>
      </c>
      <c r="E1828" s="581">
        <v>1</v>
      </c>
      <c r="G1828" s="157"/>
      <c r="H1828" s="166"/>
      <c r="I1828" s="110"/>
    </row>
    <row r="1829" spans="3:9" ht="15.95" customHeight="1" x14ac:dyDescent="0.25">
      <c r="C1829" s="109"/>
      <c r="D1829" s="174">
        <v>8</v>
      </c>
      <c r="E1829" s="581">
        <v>1.018</v>
      </c>
      <c r="G1829" s="157"/>
      <c r="H1829" s="166"/>
      <c r="I1829" s="110"/>
    </row>
    <row r="1830" spans="3:9" ht="15.95" customHeight="1" x14ac:dyDescent="0.25">
      <c r="C1830" s="109"/>
      <c r="D1830" s="174">
        <v>9</v>
      </c>
      <c r="E1830" s="581">
        <v>1.0369999999999999</v>
      </c>
      <c r="G1830" s="157"/>
      <c r="H1830" s="166"/>
      <c r="I1830" s="110"/>
    </row>
    <row r="1831" spans="3:9" ht="15.95" customHeight="1" x14ac:dyDescent="0.25">
      <c r="C1831" s="109"/>
      <c r="D1831" s="174">
        <v>10</v>
      </c>
      <c r="E1831" s="581">
        <v>1.0549999999999999</v>
      </c>
      <c r="G1831" s="157"/>
      <c r="H1831" s="166"/>
      <c r="I1831" s="110"/>
    </row>
    <row r="1832" spans="3:9" ht="15.95" customHeight="1" x14ac:dyDescent="0.25">
      <c r="C1832" s="109"/>
      <c r="D1832" s="174">
        <v>11</v>
      </c>
      <c r="E1832" s="581">
        <v>1.075</v>
      </c>
      <c r="G1832" s="157"/>
      <c r="H1832" s="166"/>
      <c r="I1832" s="110"/>
    </row>
    <row r="1833" spans="3:9" ht="15.95" customHeight="1" x14ac:dyDescent="0.25">
      <c r="C1833" s="109"/>
      <c r="D1833" s="174">
        <v>12</v>
      </c>
      <c r="E1833" s="581">
        <v>1.0940000000000001</v>
      </c>
      <c r="G1833" s="157"/>
      <c r="H1833" s="166"/>
      <c r="I1833" s="110"/>
    </row>
    <row r="1834" spans="3:9" ht="15.95" customHeight="1" x14ac:dyDescent="0.25">
      <c r="C1834" s="109"/>
      <c r="D1834" s="174">
        <v>13</v>
      </c>
      <c r="E1834" s="581">
        <v>1.1140000000000001</v>
      </c>
      <c r="G1834" s="157"/>
      <c r="H1834" s="166"/>
      <c r="I1834" s="110"/>
    </row>
    <row r="1835" spans="3:9" ht="15.95" customHeight="1" x14ac:dyDescent="0.25">
      <c r="C1835" s="109"/>
      <c r="D1835" s="174">
        <v>14</v>
      </c>
      <c r="E1835" s="581">
        <v>1.1339999999999999</v>
      </c>
      <c r="G1835" s="157"/>
      <c r="H1835" s="166"/>
      <c r="I1835" s="110"/>
    </row>
    <row r="1836" spans="3:9" ht="15.95" customHeight="1" x14ac:dyDescent="0.25">
      <c r="C1836" s="109"/>
      <c r="D1836" s="174">
        <v>15</v>
      </c>
      <c r="E1836" s="581">
        <v>1.155</v>
      </c>
      <c r="G1836" s="157"/>
      <c r="H1836" s="166"/>
      <c r="I1836" s="110"/>
    </row>
    <row r="1837" spans="3:9" ht="15.95" customHeight="1" x14ac:dyDescent="0.25">
      <c r="C1837" s="109"/>
      <c r="D1837" s="174">
        <v>16</v>
      </c>
      <c r="E1837" s="581">
        <v>1.1759999999999999</v>
      </c>
      <c r="G1837" s="157"/>
      <c r="H1837" s="166"/>
      <c r="I1837" s="110"/>
    </row>
    <row r="1838" spans="3:9" ht="15.95" customHeight="1" x14ac:dyDescent="0.25">
      <c r="C1838" s="109"/>
      <c r="D1838" s="174">
        <v>17</v>
      </c>
      <c r="E1838" s="581">
        <v>1.1970000000000001</v>
      </c>
      <c r="G1838" s="157"/>
      <c r="H1838" s="166"/>
      <c r="I1838" s="110"/>
    </row>
    <row r="1839" spans="3:9" ht="15.95" customHeight="1" x14ac:dyDescent="0.25">
      <c r="C1839" s="109"/>
      <c r="D1839" s="174">
        <v>18</v>
      </c>
      <c r="E1839" s="581">
        <v>1.2190000000000001</v>
      </c>
      <c r="G1839" s="157"/>
      <c r="H1839" s="166"/>
      <c r="I1839" s="110"/>
    </row>
    <row r="1840" spans="3:9" ht="15.95" customHeight="1" x14ac:dyDescent="0.25">
      <c r="C1840" s="109"/>
      <c r="D1840" s="174">
        <v>19</v>
      </c>
      <c r="E1840" s="581">
        <v>1.2410000000000001</v>
      </c>
      <c r="G1840" s="157"/>
      <c r="H1840" s="166"/>
      <c r="I1840" s="110"/>
    </row>
    <row r="1841" spans="2:10" ht="15.95" customHeight="1" x14ac:dyDescent="0.25">
      <c r="C1841" s="109"/>
      <c r="D1841" s="174">
        <v>20</v>
      </c>
      <c r="E1841" s="581">
        <v>1.264</v>
      </c>
      <c r="G1841" s="157"/>
      <c r="H1841" s="166"/>
      <c r="I1841" s="110"/>
    </row>
    <row r="1842" spans="2:10" ht="15.95" customHeight="1" x14ac:dyDescent="0.25">
      <c r="C1842" s="109"/>
      <c r="D1842" s="174">
        <v>21</v>
      </c>
      <c r="E1842" s="106">
        <v>1.2869999999999999</v>
      </c>
      <c r="G1842" s="157"/>
      <c r="H1842" s="166"/>
      <c r="I1842" s="110"/>
    </row>
    <row r="1843" spans="2:10" ht="15.95" customHeight="1" x14ac:dyDescent="0.25">
      <c r="C1843" s="109"/>
      <c r="D1843" s="174">
        <v>22</v>
      </c>
      <c r="E1843" s="106">
        <v>1.31</v>
      </c>
      <c r="G1843" s="157"/>
      <c r="H1843" s="166"/>
      <c r="I1843" s="110"/>
    </row>
    <row r="1844" spans="2:10" ht="15.95" customHeight="1" x14ac:dyDescent="0.25">
      <c r="C1844" s="109"/>
      <c r="D1844" s="174">
        <v>23</v>
      </c>
      <c r="E1844" s="106">
        <v>1.3340000000000001</v>
      </c>
      <c r="G1844" s="157"/>
      <c r="H1844" s="166"/>
      <c r="I1844" s="110"/>
    </row>
    <row r="1845" spans="2:10" ht="15.95" customHeight="1" x14ac:dyDescent="0.25">
      <c r="C1845" s="109"/>
      <c r="D1845" s="174">
        <v>24</v>
      </c>
      <c r="E1845" s="106">
        <v>1.3580000000000001</v>
      </c>
      <c r="G1845" s="157"/>
      <c r="H1845" s="166"/>
      <c r="I1845" s="110"/>
    </row>
    <row r="1846" spans="2:10" ht="15.95" hidden="1" customHeight="1" x14ac:dyDescent="0.25">
      <c r="C1846" s="109"/>
      <c r="D1846" s="109"/>
      <c r="G1846" s="157"/>
      <c r="H1846" s="166"/>
      <c r="I1846" s="110"/>
    </row>
    <row r="1847" spans="2:10" ht="15.95" customHeight="1" x14ac:dyDescent="0.25">
      <c r="C1847" s="109"/>
      <c r="D1847" s="109"/>
      <c r="G1847" s="157"/>
      <c r="H1847" s="166"/>
      <c r="I1847" s="110"/>
    </row>
    <row r="1848" spans="2:10" ht="15.95" customHeight="1" thickBot="1" x14ac:dyDescent="0.3">
      <c r="B1848" s="174" t="s">
        <v>685</v>
      </c>
      <c r="C1848" s="109" t="s">
        <v>686</v>
      </c>
      <c r="D1848" s="109"/>
      <c r="G1848" s="157"/>
      <c r="H1848" s="166"/>
      <c r="I1848" s="110"/>
      <c r="J1848" s="110">
        <f>I1868</f>
        <v>706136</v>
      </c>
    </row>
    <row r="1849" spans="2:10" ht="15.95" customHeight="1" thickBot="1" x14ac:dyDescent="0.3">
      <c r="C1849" s="111" t="s">
        <v>328</v>
      </c>
      <c r="D1849" s="112" t="s">
        <v>359</v>
      </c>
      <c r="E1849" s="113" t="s">
        <v>360</v>
      </c>
      <c r="F1849" s="113" t="s">
        <v>330</v>
      </c>
      <c r="G1849" s="114" t="s">
        <v>361</v>
      </c>
      <c r="H1849" s="112" t="s">
        <v>362</v>
      </c>
      <c r="I1849" s="115" t="s">
        <v>363</v>
      </c>
    </row>
    <row r="1850" spans="2:10" ht="15.95" customHeight="1" x14ac:dyDescent="0.25">
      <c r="C1850" s="138" t="s">
        <v>364</v>
      </c>
      <c r="D1850" s="139" t="s">
        <v>365</v>
      </c>
      <c r="E1850" s="140"/>
      <c r="F1850" s="140"/>
      <c r="G1850" s="141"/>
      <c r="H1850" s="142"/>
      <c r="I1850" s="143"/>
    </row>
    <row r="1851" spans="2:10" ht="15.95" customHeight="1" x14ac:dyDescent="0.25">
      <c r="C1851" s="183"/>
      <c r="D1851" s="184" t="s">
        <v>670</v>
      </c>
      <c r="E1851" s="185" t="s">
        <v>671</v>
      </c>
      <c r="F1851" s="185" t="s">
        <v>368</v>
      </c>
      <c r="G1851" s="186">
        <v>6.0999999999999999E-2</v>
      </c>
      <c r="H1851" s="125">
        <f t="shared" ref="H1851:H1857" si="65">VLOOKUP(D1851,Upah,8,FALSE)</f>
        <v>165000</v>
      </c>
      <c r="I1851" s="126">
        <f t="shared" ref="I1851:I1857" si="66">G1851*H1851</f>
        <v>10065</v>
      </c>
    </row>
    <row r="1852" spans="2:10" ht="15.95" customHeight="1" x14ac:dyDescent="0.25">
      <c r="C1852" s="183"/>
      <c r="D1852" s="184" t="s">
        <v>672</v>
      </c>
      <c r="E1852" s="185" t="s">
        <v>673</v>
      </c>
      <c r="F1852" s="185" t="s">
        <v>368</v>
      </c>
      <c r="G1852" s="186">
        <v>6.0999999999999999E-2</v>
      </c>
      <c r="H1852" s="125">
        <f t="shared" si="65"/>
        <v>148500</v>
      </c>
      <c r="I1852" s="126">
        <f t="shared" si="66"/>
        <v>9058.5</v>
      </c>
    </row>
    <row r="1853" spans="2:10" ht="15.95" customHeight="1" x14ac:dyDescent="0.25">
      <c r="C1853" s="183"/>
      <c r="D1853" s="184" t="s">
        <v>366</v>
      </c>
      <c r="E1853" s="185" t="s">
        <v>367</v>
      </c>
      <c r="F1853" s="185" t="s">
        <v>368</v>
      </c>
      <c r="G1853" s="186">
        <v>6.0999999999999999E-2</v>
      </c>
      <c r="H1853" s="125">
        <f t="shared" si="65"/>
        <v>125000</v>
      </c>
      <c r="I1853" s="126">
        <f t="shared" si="66"/>
        <v>7625</v>
      </c>
    </row>
    <row r="1854" spans="2:10" ht="15.95" customHeight="1" x14ac:dyDescent="0.25">
      <c r="C1854" s="183"/>
      <c r="D1854" s="184" t="s">
        <v>413</v>
      </c>
      <c r="E1854" s="185" t="s">
        <v>414</v>
      </c>
      <c r="F1854" s="185" t="s">
        <v>368</v>
      </c>
      <c r="G1854" s="186">
        <v>6.0999999999999999E-2</v>
      </c>
      <c r="H1854" s="125">
        <f t="shared" si="65"/>
        <v>150000</v>
      </c>
      <c r="I1854" s="126">
        <f t="shared" si="66"/>
        <v>9150</v>
      </c>
    </row>
    <row r="1855" spans="2:10" ht="15.95" customHeight="1" x14ac:dyDescent="0.25">
      <c r="C1855" s="183"/>
      <c r="D1855" s="184" t="s">
        <v>674</v>
      </c>
      <c r="E1855" s="185" t="s">
        <v>675</v>
      </c>
      <c r="F1855" s="185" t="s">
        <v>368</v>
      </c>
      <c r="G1855" s="186">
        <v>0.122</v>
      </c>
      <c r="H1855" s="125">
        <f t="shared" si="65"/>
        <v>150000</v>
      </c>
      <c r="I1855" s="126">
        <f t="shared" si="66"/>
        <v>18300</v>
      </c>
    </row>
    <row r="1856" spans="2:10" ht="15.95" customHeight="1" x14ac:dyDescent="0.25">
      <c r="C1856" s="183"/>
      <c r="D1856" s="184" t="s">
        <v>429</v>
      </c>
      <c r="E1856" s="185" t="s">
        <v>372</v>
      </c>
      <c r="F1856" s="185" t="s">
        <v>368</v>
      </c>
      <c r="G1856" s="186">
        <v>6.0999999999999999E-2</v>
      </c>
      <c r="H1856" s="125">
        <f t="shared" si="65"/>
        <v>165000</v>
      </c>
      <c r="I1856" s="126">
        <f t="shared" si="66"/>
        <v>10065</v>
      </c>
    </row>
    <row r="1857" spans="3:9" ht="15.95" customHeight="1" thickBot="1" x14ac:dyDescent="0.3">
      <c r="C1857" s="187"/>
      <c r="D1857" s="188" t="s">
        <v>373</v>
      </c>
      <c r="E1857" s="189" t="s">
        <v>374</v>
      </c>
      <c r="F1857" s="189" t="s">
        <v>368</v>
      </c>
      <c r="G1857" s="190">
        <v>6.0999999999999999E-2</v>
      </c>
      <c r="H1857" s="125">
        <f t="shared" si="65"/>
        <v>170000</v>
      </c>
      <c r="I1857" s="146">
        <f t="shared" si="66"/>
        <v>10370</v>
      </c>
    </row>
    <row r="1858" spans="3:9" ht="15.95" customHeight="1" thickBot="1" x14ac:dyDescent="0.3">
      <c r="C1858" s="132"/>
      <c r="D1858" s="133"/>
      <c r="E1858" s="134"/>
      <c r="F1858" s="134"/>
      <c r="G1858" s="135" t="s">
        <v>375</v>
      </c>
      <c r="H1858" s="136"/>
      <c r="I1858" s="137">
        <f>SUM(I1853:I1857)</f>
        <v>55510</v>
      </c>
    </row>
    <row r="1859" spans="3:9" ht="15.95" customHeight="1" x14ac:dyDescent="0.25">
      <c r="C1859" s="138" t="s">
        <v>376</v>
      </c>
      <c r="D1859" s="139" t="s">
        <v>377</v>
      </c>
      <c r="E1859" s="140"/>
      <c r="F1859" s="140"/>
      <c r="G1859" s="141"/>
      <c r="H1859" s="142"/>
      <c r="I1859" s="143"/>
    </row>
    <row r="1860" spans="3:9" ht="15.95" customHeight="1" thickBot="1" x14ac:dyDescent="0.3">
      <c r="C1860" s="187"/>
      <c r="D1860" s="191" t="s">
        <v>676</v>
      </c>
      <c r="E1860" s="189"/>
      <c r="F1860" s="189" t="s">
        <v>636</v>
      </c>
      <c r="G1860" s="190">
        <v>6.11</v>
      </c>
      <c r="H1860" s="144">
        <f>VLOOKUP(D1860,Bahan,6,FALSE)</f>
        <v>10540</v>
      </c>
      <c r="I1860" s="146">
        <f>G1860*H1860</f>
        <v>64399.4</v>
      </c>
    </row>
    <row r="1861" spans="3:9" ht="15.95" customHeight="1" thickBot="1" x14ac:dyDescent="0.3">
      <c r="C1861" s="132"/>
      <c r="D1861" s="133"/>
      <c r="E1861" s="134"/>
      <c r="F1861" s="134"/>
      <c r="G1861" s="135" t="s">
        <v>386</v>
      </c>
      <c r="H1861" s="136"/>
      <c r="I1861" s="137">
        <f>SUM(I1860)</f>
        <v>64399.4</v>
      </c>
    </row>
    <row r="1862" spans="3:9" ht="15.95" customHeight="1" x14ac:dyDescent="0.25">
      <c r="C1862" s="138" t="s">
        <v>387</v>
      </c>
      <c r="D1862" s="139" t="s">
        <v>388</v>
      </c>
      <c r="E1862" s="140"/>
      <c r="F1862" s="140"/>
      <c r="G1862" s="141"/>
      <c r="H1862" s="142"/>
      <c r="I1862" s="143"/>
    </row>
    <row r="1863" spans="3:9" ht="15.95" customHeight="1" x14ac:dyDescent="0.25">
      <c r="C1863" s="183"/>
      <c r="D1863" s="184" t="s">
        <v>677</v>
      </c>
      <c r="E1863" s="192"/>
      <c r="F1863" s="185" t="s">
        <v>678</v>
      </c>
      <c r="G1863" s="186">
        <v>6.0999999999999999E-2</v>
      </c>
      <c r="H1863" s="144">
        <f>VLOOKUP(D1863,Bahan,6,FALSE)</f>
        <v>1540000</v>
      </c>
      <c r="I1863" s="126">
        <f>G1863*H1863</f>
        <v>93940</v>
      </c>
    </row>
    <row r="1864" spans="3:9" ht="15.95" customHeight="1" thickBot="1" x14ac:dyDescent="0.3">
      <c r="C1864" s="187"/>
      <c r="D1864" s="188" t="s">
        <v>679</v>
      </c>
      <c r="E1864" s="193"/>
      <c r="F1864" s="189" t="s">
        <v>680</v>
      </c>
      <c r="G1864" s="190">
        <v>1.1000000000000001</v>
      </c>
      <c r="H1864" s="144">
        <f>VLOOKUP(D1864,Bahan,6,FALSE)</f>
        <v>396800</v>
      </c>
      <c r="I1864" s="146">
        <f>G1864*H1864</f>
        <v>436480.00000000006</v>
      </c>
    </row>
    <row r="1865" spans="3:9" ht="15.95" customHeight="1" thickBot="1" x14ac:dyDescent="0.3">
      <c r="C1865" s="132"/>
      <c r="D1865" s="133"/>
      <c r="E1865" s="134"/>
      <c r="F1865" s="134"/>
      <c r="G1865" s="135" t="s">
        <v>389</v>
      </c>
      <c r="H1865" s="136"/>
      <c r="I1865" s="137">
        <f>SUM(I1863:I1864)</f>
        <v>530420</v>
      </c>
    </row>
    <row r="1866" spans="3:9" ht="15.95" customHeight="1" thickBot="1" x14ac:dyDescent="0.3">
      <c r="C1866" s="147" t="s">
        <v>390</v>
      </c>
      <c r="D1866" s="148" t="s">
        <v>391</v>
      </c>
      <c r="E1866" s="149"/>
      <c r="F1866" s="149"/>
      <c r="G1866" s="150"/>
      <c r="H1866" s="151">
        <f>IF(AND(D1866&lt;&gt;"",F1866&lt;&gt;""),IF(C1866="",IF(F1866="OH",VLOOKUP(D1866,[1]UPAH!$B$3:$G$32,7,0),VLOOKUP(D1866,[1]BAHAN!$A$2:$D$3,4,0)),0),0)</f>
        <v>0</v>
      </c>
      <c r="I1866" s="152">
        <f>SUM(I1855:I1865)/2</f>
        <v>641941.9</v>
      </c>
    </row>
    <row r="1867" spans="3:9" ht="15.95" customHeight="1" thickBot="1" x14ac:dyDescent="0.3">
      <c r="C1867" s="111" t="s">
        <v>392</v>
      </c>
      <c r="D1867" s="112" t="s">
        <v>393</v>
      </c>
      <c r="E1867" s="134"/>
      <c r="F1867" s="134"/>
      <c r="G1867" s="194">
        <v>0.1</v>
      </c>
      <c r="H1867" s="136"/>
      <c r="I1867" s="137">
        <f>G1867*I1866</f>
        <v>64194.19</v>
      </c>
    </row>
    <row r="1868" spans="3:9" ht="15.95" customHeight="1" thickBot="1" x14ac:dyDescent="0.3">
      <c r="C1868" s="195" t="s">
        <v>394</v>
      </c>
      <c r="D1868" s="196" t="s">
        <v>395</v>
      </c>
      <c r="E1868" s="197"/>
      <c r="F1868" s="197"/>
      <c r="G1868" s="198"/>
      <c r="H1868" s="199">
        <f>IF(AND(D1868&lt;&gt;"",F1868&lt;&gt;""),IF(C1868="",IF(F1868="OH",VLOOKUP(D1868,[1]UPAH!$B$3:$G$32,7,0),VLOOKUP(D1868,[1]BAHAN!$A$2:$D$3,4,0)),0),0)</f>
        <v>0</v>
      </c>
      <c r="I1868" s="200">
        <f>ROUNDDOWN(I1866+I1867,0)</f>
        <v>706136</v>
      </c>
    </row>
    <row r="1869" spans="3:9" ht="15.95" customHeight="1" x14ac:dyDescent="0.25">
      <c r="C1869" s="109"/>
      <c r="D1869" s="109"/>
      <c r="G1869" s="157"/>
      <c r="H1869" s="166"/>
      <c r="I1869" s="110"/>
    </row>
    <row r="1870" spans="3:9" ht="15.95" customHeight="1" x14ac:dyDescent="0.25">
      <c r="C1870" s="573" t="s">
        <v>687</v>
      </c>
      <c r="D1870" s="202"/>
      <c r="E1870" s="203"/>
      <c r="G1870" s="157"/>
      <c r="H1870" s="166"/>
      <c r="I1870" s="110"/>
    </row>
    <row r="1871" spans="3:9" ht="15.95" customHeight="1" x14ac:dyDescent="0.25">
      <c r="C1871" s="202"/>
      <c r="D1871" s="204"/>
      <c r="E1871" s="203"/>
      <c r="G1871" s="157"/>
      <c r="H1871" s="166"/>
      <c r="I1871" s="110"/>
    </row>
    <row r="1872" spans="3:9" ht="15.95" customHeight="1" x14ac:dyDescent="0.25">
      <c r="C1872" s="202"/>
      <c r="D1872" s="204"/>
      <c r="E1872" s="203"/>
      <c r="G1872" s="157"/>
      <c r="H1872" s="166"/>
      <c r="I1872" s="110"/>
    </row>
    <row r="1873" spans="3:9" ht="15.95" customHeight="1" x14ac:dyDescent="0.25">
      <c r="C1873" s="202"/>
      <c r="D1873" s="574" t="s">
        <v>682</v>
      </c>
      <c r="E1873" s="576" t="s">
        <v>683</v>
      </c>
      <c r="F1873" s="576"/>
      <c r="G1873" s="157"/>
      <c r="H1873" s="166"/>
      <c r="I1873" s="110"/>
    </row>
    <row r="1874" spans="3:9" ht="15.95" customHeight="1" x14ac:dyDescent="0.25">
      <c r="C1874" s="202"/>
      <c r="D1874" s="575"/>
      <c r="E1874" s="577" t="s">
        <v>688</v>
      </c>
      <c r="F1874" s="577"/>
      <c r="G1874" s="157"/>
      <c r="H1874" s="166"/>
      <c r="I1874" s="110"/>
    </row>
    <row r="1875" spans="3:9" ht="15.95" customHeight="1" x14ac:dyDescent="0.25">
      <c r="C1875" s="202"/>
      <c r="D1875" s="201">
        <v>1</v>
      </c>
      <c r="E1875" s="205">
        <v>1</v>
      </c>
      <c r="G1875" s="157"/>
      <c r="H1875" s="166"/>
      <c r="I1875" s="110"/>
    </row>
    <row r="1876" spans="3:9" ht="15.95" customHeight="1" x14ac:dyDescent="0.25">
      <c r="C1876" s="202"/>
      <c r="D1876" s="201">
        <v>2</v>
      </c>
      <c r="E1876" s="205">
        <v>1</v>
      </c>
      <c r="G1876" s="157"/>
      <c r="H1876" s="166"/>
      <c r="I1876" s="110"/>
    </row>
    <row r="1877" spans="3:9" ht="15.95" customHeight="1" x14ac:dyDescent="0.25">
      <c r="C1877" s="202"/>
      <c r="D1877" s="201">
        <v>3</v>
      </c>
      <c r="E1877" s="205">
        <v>1</v>
      </c>
      <c r="G1877" s="157"/>
      <c r="H1877" s="166"/>
      <c r="I1877" s="110"/>
    </row>
    <row r="1878" spans="3:9" ht="15.95" customHeight="1" x14ac:dyDescent="0.25">
      <c r="C1878" s="202"/>
      <c r="D1878" s="201">
        <v>4</v>
      </c>
      <c r="E1878" s="205">
        <v>1</v>
      </c>
      <c r="G1878" s="157"/>
      <c r="H1878" s="166"/>
      <c r="I1878" s="110"/>
    </row>
    <row r="1879" spans="3:9" ht="15.95" customHeight="1" x14ac:dyDescent="0.25">
      <c r="C1879" s="202"/>
      <c r="D1879" s="201">
        <v>5</v>
      </c>
      <c r="E1879" s="205">
        <v>1</v>
      </c>
      <c r="G1879" s="157"/>
      <c r="H1879" s="166"/>
      <c r="I1879" s="110"/>
    </row>
    <row r="1880" spans="3:9" ht="15.95" customHeight="1" x14ac:dyDescent="0.25">
      <c r="C1880" s="202"/>
      <c r="D1880" s="201">
        <v>6</v>
      </c>
      <c r="E1880" s="205">
        <v>1</v>
      </c>
      <c r="G1880" s="157"/>
      <c r="H1880" s="166"/>
      <c r="I1880" s="110"/>
    </row>
    <row r="1881" spans="3:9" ht="15.95" customHeight="1" x14ac:dyDescent="0.25">
      <c r="C1881" s="202"/>
      <c r="D1881" s="201">
        <v>7</v>
      </c>
      <c r="E1881" s="205">
        <v>1</v>
      </c>
      <c r="G1881" s="157"/>
      <c r="H1881" s="166"/>
      <c r="I1881" s="110"/>
    </row>
    <row r="1882" spans="3:9" ht="15.95" customHeight="1" x14ac:dyDescent="0.25">
      <c r="C1882" s="202"/>
      <c r="D1882" s="201">
        <v>8</v>
      </c>
      <c r="E1882" s="205">
        <v>1.0109999999999999</v>
      </c>
      <c r="G1882" s="157"/>
      <c r="H1882" s="166"/>
      <c r="I1882" s="110"/>
    </row>
    <row r="1883" spans="3:9" ht="15.95" customHeight="1" x14ac:dyDescent="0.25">
      <c r="C1883" s="202"/>
      <c r="D1883" s="201">
        <v>9</v>
      </c>
      <c r="E1883" s="205">
        <v>1.022</v>
      </c>
      <c r="G1883" s="157"/>
      <c r="H1883" s="166"/>
      <c r="I1883" s="110"/>
    </row>
    <row r="1884" spans="3:9" ht="15.95" customHeight="1" x14ac:dyDescent="0.25">
      <c r="C1884" s="202"/>
      <c r="D1884" s="201">
        <v>10</v>
      </c>
      <c r="E1884" s="205">
        <v>1.034</v>
      </c>
      <c r="G1884" s="157"/>
      <c r="H1884" s="166"/>
      <c r="I1884" s="110"/>
    </row>
    <row r="1885" spans="3:9" ht="15.95" customHeight="1" x14ac:dyDescent="0.25">
      <c r="C1885" s="202"/>
      <c r="D1885" s="201">
        <v>11</v>
      </c>
      <c r="E1885" s="205">
        <v>1.0449999999999999</v>
      </c>
    </row>
    <row r="1886" spans="3:9" ht="15.95" customHeight="1" x14ac:dyDescent="0.25">
      <c r="C1886" s="202"/>
      <c r="D1886" s="201">
        <v>12</v>
      </c>
      <c r="E1886" s="205">
        <v>1.0569999999999999</v>
      </c>
    </row>
    <row r="1887" spans="3:9" ht="15.95" customHeight="1" x14ac:dyDescent="0.25">
      <c r="C1887" s="202"/>
      <c r="D1887" s="201">
        <v>13</v>
      </c>
      <c r="E1887" s="205">
        <v>1.0680000000000001</v>
      </c>
    </row>
    <row r="1888" spans="3:9" ht="15.95" customHeight="1" x14ac:dyDescent="0.25">
      <c r="C1888" s="202"/>
      <c r="D1888" s="201">
        <v>14</v>
      </c>
      <c r="E1888" s="205">
        <v>1.08</v>
      </c>
    </row>
    <row r="1889" spans="2:10" ht="15.95" customHeight="1" x14ac:dyDescent="0.25">
      <c r="C1889" s="202"/>
      <c r="D1889" s="201">
        <v>15</v>
      </c>
      <c r="E1889" s="205">
        <v>1.0920000000000001</v>
      </c>
    </row>
    <row r="1890" spans="2:10" ht="15.95" customHeight="1" x14ac:dyDescent="0.25">
      <c r="C1890" s="202"/>
      <c r="D1890" s="201">
        <v>16</v>
      </c>
      <c r="E1890" s="205">
        <v>1.1040000000000001</v>
      </c>
    </row>
    <row r="1891" spans="2:10" ht="15.95" customHeight="1" x14ac:dyDescent="0.25">
      <c r="C1891" s="202"/>
      <c r="D1891" s="201">
        <v>17</v>
      </c>
      <c r="E1891" s="205">
        <v>1.1160000000000001</v>
      </c>
    </row>
    <row r="1892" spans="2:10" ht="15.95" customHeight="1" x14ac:dyDescent="0.25">
      <c r="C1892" s="202"/>
      <c r="D1892" s="201">
        <v>18</v>
      </c>
      <c r="E1892" s="205">
        <v>1.129</v>
      </c>
    </row>
    <row r="1893" spans="2:10" ht="15.95" customHeight="1" x14ac:dyDescent="0.25">
      <c r="C1893" s="202"/>
      <c r="D1893" s="201">
        <v>19</v>
      </c>
      <c r="E1893" s="205">
        <v>1.141</v>
      </c>
    </row>
    <row r="1894" spans="2:10" ht="15.95" customHeight="1" x14ac:dyDescent="0.25">
      <c r="C1894" s="202"/>
      <c r="D1894" s="201">
        <v>20</v>
      </c>
      <c r="E1894" s="205">
        <v>1.1539999999999999</v>
      </c>
    </row>
    <row r="1895" spans="2:10" ht="15.95" customHeight="1" x14ac:dyDescent="0.25">
      <c r="C1895" s="202"/>
      <c r="D1895" s="201">
        <v>21</v>
      </c>
      <c r="E1895" s="205">
        <v>1.1659999999999999</v>
      </c>
    </row>
    <row r="1896" spans="2:10" ht="15.95" customHeight="1" x14ac:dyDescent="0.25">
      <c r="C1896" s="202"/>
      <c r="D1896" s="201">
        <v>22</v>
      </c>
      <c r="E1896" s="205">
        <v>1.179</v>
      </c>
    </row>
    <row r="1897" spans="2:10" ht="15.95" customHeight="1" x14ac:dyDescent="0.25">
      <c r="C1897" s="202"/>
      <c r="D1897" s="201">
        <v>23</v>
      </c>
      <c r="E1897" s="205">
        <v>1.1919999999999999</v>
      </c>
    </row>
    <row r="1898" spans="2:10" ht="15.95" customHeight="1" x14ac:dyDescent="0.25">
      <c r="C1898" s="202"/>
      <c r="D1898" s="201">
        <v>24</v>
      </c>
      <c r="E1898" s="205">
        <v>1.206</v>
      </c>
    </row>
    <row r="1900" spans="2:10" hidden="1" x14ac:dyDescent="0.25"/>
    <row r="1901" spans="2:10" ht="15.95" customHeight="1" thickBot="1" x14ac:dyDescent="0.3">
      <c r="B1901" s="174" t="s">
        <v>689</v>
      </c>
      <c r="C1901" s="109" t="s">
        <v>690</v>
      </c>
      <c r="D1901" s="109"/>
      <c r="G1901" s="157"/>
      <c r="H1901" s="166"/>
      <c r="I1901" s="110"/>
      <c r="J1901" s="110">
        <f>I1921</f>
        <v>1267350</v>
      </c>
    </row>
    <row r="1902" spans="2:10" ht="15.95" customHeight="1" thickBot="1" x14ac:dyDescent="0.3">
      <c r="C1902" s="111" t="s">
        <v>328</v>
      </c>
      <c r="D1902" s="112" t="s">
        <v>359</v>
      </c>
      <c r="E1902" s="113" t="s">
        <v>360</v>
      </c>
      <c r="F1902" s="113" t="s">
        <v>330</v>
      </c>
      <c r="G1902" s="114" t="s">
        <v>361</v>
      </c>
      <c r="H1902" s="112" t="s">
        <v>362</v>
      </c>
      <c r="I1902" s="115" t="s">
        <v>363</v>
      </c>
    </row>
    <row r="1903" spans="2:10" ht="15.95" customHeight="1" x14ac:dyDescent="0.25">
      <c r="C1903" s="138" t="s">
        <v>364</v>
      </c>
      <c r="D1903" s="139" t="s">
        <v>365</v>
      </c>
      <c r="E1903" s="140"/>
      <c r="F1903" s="140"/>
      <c r="G1903" s="141"/>
      <c r="H1903" s="142"/>
      <c r="I1903" s="143"/>
    </row>
    <row r="1904" spans="2:10" ht="15.95" customHeight="1" x14ac:dyDescent="0.25">
      <c r="C1904" s="183"/>
      <c r="D1904" s="184" t="s">
        <v>670</v>
      </c>
      <c r="E1904" s="185" t="s">
        <v>671</v>
      </c>
      <c r="F1904" s="185" t="s">
        <v>368</v>
      </c>
      <c r="G1904" s="186">
        <v>8.3000000000000004E-2</v>
      </c>
      <c r="H1904" s="125">
        <f t="shared" ref="H1904:H1910" si="67">VLOOKUP(D1904,Upah,8,FALSE)</f>
        <v>165000</v>
      </c>
      <c r="I1904" s="126">
        <f t="shared" ref="I1904:I1910" si="68">G1904*H1904</f>
        <v>13695</v>
      </c>
    </row>
    <row r="1905" spans="3:9" ht="15.95" customHeight="1" x14ac:dyDescent="0.25">
      <c r="C1905" s="183"/>
      <c r="D1905" s="184" t="s">
        <v>672</v>
      </c>
      <c r="E1905" s="185" t="s">
        <v>673</v>
      </c>
      <c r="F1905" s="185" t="s">
        <v>368</v>
      </c>
      <c r="G1905" s="186">
        <v>8.3000000000000004E-2</v>
      </c>
      <c r="H1905" s="125">
        <f t="shared" si="67"/>
        <v>148500</v>
      </c>
      <c r="I1905" s="126">
        <f t="shared" si="68"/>
        <v>12325.5</v>
      </c>
    </row>
    <row r="1906" spans="3:9" ht="15.95" customHeight="1" x14ac:dyDescent="0.25">
      <c r="C1906" s="183"/>
      <c r="D1906" s="184" t="s">
        <v>366</v>
      </c>
      <c r="E1906" s="185" t="s">
        <v>367</v>
      </c>
      <c r="F1906" s="185" t="s">
        <v>368</v>
      </c>
      <c r="G1906" s="186">
        <v>8.3000000000000004E-2</v>
      </c>
      <c r="H1906" s="125">
        <f t="shared" si="67"/>
        <v>125000</v>
      </c>
      <c r="I1906" s="126">
        <f t="shared" si="68"/>
        <v>10375</v>
      </c>
    </row>
    <row r="1907" spans="3:9" ht="15.95" customHeight="1" x14ac:dyDescent="0.25">
      <c r="C1907" s="183"/>
      <c r="D1907" s="184" t="s">
        <v>413</v>
      </c>
      <c r="E1907" s="185" t="s">
        <v>414</v>
      </c>
      <c r="F1907" s="185" t="s">
        <v>368</v>
      </c>
      <c r="G1907" s="186">
        <v>8.3000000000000004E-2</v>
      </c>
      <c r="H1907" s="125">
        <f t="shared" si="67"/>
        <v>150000</v>
      </c>
      <c r="I1907" s="126">
        <f t="shared" si="68"/>
        <v>12450</v>
      </c>
    </row>
    <row r="1908" spans="3:9" ht="15.95" customHeight="1" x14ac:dyDescent="0.25">
      <c r="C1908" s="183"/>
      <c r="D1908" s="184" t="s">
        <v>674</v>
      </c>
      <c r="E1908" s="185" t="s">
        <v>675</v>
      </c>
      <c r="F1908" s="185" t="s">
        <v>368</v>
      </c>
      <c r="G1908" s="186">
        <v>0.16600000000000001</v>
      </c>
      <c r="H1908" s="125">
        <f t="shared" si="67"/>
        <v>150000</v>
      </c>
      <c r="I1908" s="126">
        <f t="shared" si="68"/>
        <v>24900</v>
      </c>
    </row>
    <row r="1909" spans="3:9" ht="15.95" customHeight="1" x14ac:dyDescent="0.25">
      <c r="C1909" s="183"/>
      <c r="D1909" s="184" t="s">
        <v>429</v>
      </c>
      <c r="E1909" s="185" t="s">
        <v>372</v>
      </c>
      <c r="F1909" s="185" t="s">
        <v>368</v>
      </c>
      <c r="G1909" s="186">
        <v>8.3000000000000004E-2</v>
      </c>
      <c r="H1909" s="125">
        <f t="shared" si="67"/>
        <v>165000</v>
      </c>
      <c r="I1909" s="126">
        <f t="shared" si="68"/>
        <v>13695</v>
      </c>
    </row>
    <row r="1910" spans="3:9" ht="15.95" customHeight="1" thickBot="1" x14ac:dyDescent="0.3">
      <c r="C1910" s="187"/>
      <c r="D1910" s="188" t="s">
        <v>373</v>
      </c>
      <c r="E1910" s="189" t="s">
        <v>374</v>
      </c>
      <c r="F1910" s="189" t="s">
        <v>368</v>
      </c>
      <c r="G1910" s="190">
        <v>8.3000000000000004E-2</v>
      </c>
      <c r="H1910" s="125">
        <f t="shared" si="67"/>
        <v>170000</v>
      </c>
      <c r="I1910" s="146">
        <f t="shared" si="68"/>
        <v>14110</v>
      </c>
    </row>
    <row r="1911" spans="3:9" ht="15.95" customHeight="1" thickBot="1" x14ac:dyDescent="0.3">
      <c r="C1911" s="132"/>
      <c r="D1911" s="133"/>
      <c r="E1911" s="134"/>
      <c r="F1911" s="134"/>
      <c r="G1911" s="135" t="s">
        <v>375</v>
      </c>
      <c r="H1911" s="136"/>
      <c r="I1911" s="137">
        <f>SUM(I1906:I1910)</f>
        <v>75530</v>
      </c>
    </row>
    <row r="1912" spans="3:9" ht="15.95" customHeight="1" x14ac:dyDescent="0.25">
      <c r="C1912" s="138" t="s">
        <v>376</v>
      </c>
      <c r="D1912" s="139" t="s">
        <v>377</v>
      </c>
      <c r="E1912" s="140"/>
      <c r="F1912" s="140"/>
      <c r="G1912" s="141"/>
      <c r="H1912" s="142"/>
      <c r="I1912" s="143"/>
    </row>
    <row r="1913" spans="3:9" ht="15.95" customHeight="1" thickBot="1" x14ac:dyDescent="0.3">
      <c r="C1913" s="187"/>
      <c r="D1913" s="191" t="s">
        <v>676</v>
      </c>
      <c r="E1913" s="189"/>
      <c r="F1913" s="189" t="s">
        <v>636</v>
      </c>
      <c r="G1913" s="190">
        <v>8.2769999999999992</v>
      </c>
      <c r="H1913" s="144">
        <f>VLOOKUP(D1913,Bahan,6,FALSE)</f>
        <v>10540</v>
      </c>
      <c r="I1913" s="146">
        <f>G1913*H1913</f>
        <v>87239.579999999987</v>
      </c>
    </row>
    <row r="1914" spans="3:9" ht="15.95" customHeight="1" thickBot="1" x14ac:dyDescent="0.3">
      <c r="C1914" s="132"/>
      <c r="D1914" s="133"/>
      <c r="E1914" s="134"/>
      <c r="F1914" s="134"/>
      <c r="G1914" s="135" t="s">
        <v>386</v>
      </c>
      <c r="H1914" s="136"/>
      <c r="I1914" s="137">
        <f>SUM(I1913)</f>
        <v>87239.579999999987</v>
      </c>
    </row>
    <row r="1915" spans="3:9" ht="15.95" customHeight="1" x14ac:dyDescent="0.25">
      <c r="C1915" s="138" t="s">
        <v>387</v>
      </c>
      <c r="D1915" s="139" t="s">
        <v>388</v>
      </c>
      <c r="E1915" s="140"/>
      <c r="F1915" s="140"/>
      <c r="G1915" s="141"/>
      <c r="H1915" s="142"/>
      <c r="I1915" s="143"/>
    </row>
    <row r="1916" spans="3:9" ht="15.95" customHeight="1" x14ac:dyDescent="0.25">
      <c r="C1916" s="183"/>
      <c r="D1916" s="184" t="s">
        <v>677</v>
      </c>
      <c r="E1916" s="192"/>
      <c r="F1916" s="185" t="s">
        <v>678</v>
      </c>
      <c r="G1916" s="186">
        <v>8.3000000000000004E-2</v>
      </c>
      <c r="H1916" s="144">
        <f>VLOOKUP(D1916,Bahan,6,FALSE)</f>
        <v>1540000</v>
      </c>
      <c r="I1916" s="126">
        <f>G1916*H1916</f>
        <v>127820</v>
      </c>
    </row>
    <row r="1917" spans="3:9" ht="15.95" customHeight="1" thickBot="1" x14ac:dyDescent="0.3">
      <c r="C1917" s="187"/>
      <c r="D1917" s="188" t="s">
        <v>679</v>
      </c>
      <c r="E1917" s="193"/>
      <c r="F1917" s="189" t="s">
        <v>680</v>
      </c>
      <c r="G1917" s="190">
        <v>2.2000000000000002</v>
      </c>
      <c r="H1917" s="144">
        <f>VLOOKUP(D1917,Bahan,6,FALSE)</f>
        <v>396800</v>
      </c>
      <c r="I1917" s="146">
        <f>G1917*H1917</f>
        <v>872960.00000000012</v>
      </c>
    </row>
    <row r="1918" spans="3:9" ht="15.95" customHeight="1" thickBot="1" x14ac:dyDescent="0.3">
      <c r="C1918" s="132"/>
      <c r="D1918" s="133"/>
      <c r="E1918" s="134"/>
      <c r="F1918" s="134"/>
      <c r="G1918" s="135" t="s">
        <v>389</v>
      </c>
      <c r="H1918" s="136"/>
      <c r="I1918" s="137">
        <f>SUM(I1916:I1917)</f>
        <v>1000780.0000000001</v>
      </c>
    </row>
    <row r="1919" spans="3:9" ht="15.95" customHeight="1" thickBot="1" x14ac:dyDescent="0.3">
      <c r="C1919" s="147" t="s">
        <v>390</v>
      </c>
      <c r="D1919" s="148" t="s">
        <v>391</v>
      </c>
      <c r="E1919" s="149"/>
      <c r="F1919" s="149"/>
      <c r="G1919" s="150"/>
      <c r="H1919" s="151">
        <f>IF(AND(D1919&lt;&gt;"",F1919&lt;&gt;""),IF(C1919="",IF(F1919="OH",VLOOKUP(D1919,[1]UPAH!$B$3:$G$32,7,0),VLOOKUP(D1919,[1]BAHAN!$A$2:$D$3,4,0)),0),0)</f>
        <v>0</v>
      </c>
      <c r="I1919" s="152">
        <f>SUM(I1908:I1918)/2</f>
        <v>1152137.08</v>
      </c>
    </row>
    <row r="1920" spans="3:9" ht="15.95" customHeight="1" thickBot="1" x14ac:dyDescent="0.3">
      <c r="C1920" s="111" t="s">
        <v>392</v>
      </c>
      <c r="D1920" s="112" t="s">
        <v>393</v>
      </c>
      <c r="E1920" s="134"/>
      <c r="F1920" s="134"/>
      <c r="G1920" s="194">
        <v>0.1</v>
      </c>
      <c r="H1920" s="136"/>
      <c r="I1920" s="137">
        <f>G1920*I1919</f>
        <v>115213.70800000001</v>
      </c>
    </row>
    <row r="1921" spans="3:9" ht="15.95" customHeight="1" thickBot="1" x14ac:dyDescent="0.3">
      <c r="C1921" s="195" t="s">
        <v>394</v>
      </c>
      <c r="D1921" s="196" t="s">
        <v>395</v>
      </c>
      <c r="E1921" s="197"/>
      <c r="F1921" s="197"/>
      <c r="G1921" s="198"/>
      <c r="H1921" s="199">
        <f>IF(AND(D1921&lt;&gt;"",F1921&lt;&gt;""),IF(C1921="",IF(F1921="OH",VLOOKUP(D1921,[1]UPAH!$B$3:$G$32,7,0),VLOOKUP(D1921,[1]BAHAN!$A$2:$D$3,4,0)),0),0)</f>
        <v>0</v>
      </c>
      <c r="I1921" s="200">
        <f>ROUNDDOWN(I1919+I1920,0)</f>
        <v>1267350</v>
      </c>
    </row>
    <row r="1922" spans="3:9" ht="15.95" customHeight="1" x14ac:dyDescent="0.25">
      <c r="C1922" s="109"/>
      <c r="D1922" s="109"/>
      <c r="G1922" s="157"/>
      <c r="H1922" s="166"/>
      <c r="I1922" s="110"/>
    </row>
    <row r="1923" spans="3:9" ht="15.95" customHeight="1" x14ac:dyDescent="0.25">
      <c r="C1923" s="573" t="s">
        <v>691</v>
      </c>
      <c r="D1923" s="202"/>
      <c r="E1923" s="203"/>
      <c r="G1923" s="157"/>
      <c r="H1923" s="166"/>
      <c r="I1923" s="110"/>
    </row>
    <row r="1924" spans="3:9" ht="15.95" customHeight="1" x14ac:dyDescent="0.25">
      <c r="C1924" s="202"/>
      <c r="D1924" s="204"/>
      <c r="E1924" s="203"/>
      <c r="G1924" s="157"/>
      <c r="H1924" s="166"/>
      <c r="I1924" s="110"/>
    </row>
    <row r="1925" spans="3:9" ht="15.75" customHeight="1" x14ac:dyDescent="0.25">
      <c r="C1925" s="202"/>
      <c r="D1925" s="204"/>
      <c r="E1925" s="203"/>
      <c r="G1925" s="157"/>
      <c r="H1925" s="166"/>
      <c r="I1925" s="110"/>
    </row>
    <row r="1926" spans="3:9" ht="21.95" customHeight="1" x14ac:dyDescent="0.25">
      <c r="C1926" s="202"/>
      <c r="E1926" s="474" t="s">
        <v>682</v>
      </c>
      <c r="F1926" s="476" t="s">
        <v>692</v>
      </c>
      <c r="G1926" s="476"/>
      <c r="H1926" s="166"/>
      <c r="I1926" s="110"/>
    </row>
    <row r="1927" spans="3:9" ht="21.95" customHeight="1" x14ac:dyDescent="0.25">
      <c r="C1927" s="202"/>
      <c r="E1927" s="475"/>
      <c r="F1927" s="477"/>
      <c r="G1927" s="477"/>
      <c r="H1927" s="166"/>
      <c r="I1927" s="110"/>
    </row>
    <row r="1928" spans="3:9" ht="15.95" customHeight="1" x14ac:dyDescent="0.25">
      <c r="C1928" s="202"/>
      <c r="E1928" s="206">
        <v>1</v>
      </c>
      <c r="F1928" s="478">
        <v>1</v>
      </c>
      <c r="G1928" s="478"/>
      <c r="H1928" s="166"/>
      <c r="I1928" s="110"/>
    </row>
    <row r="1929" spans="3:9" ht="15.95" customHeight="1" x14ac:dyDescent="0.25">
      <c r="C1929" s="202"/>
      <c r="E1929" s="207">
        <v>2</v>
      </c>
      <c r="F1929" s="470">
        <v>1</v>
      </c>
      <c r="G1929" s="470"/>
      <c r="H1929" s="166"/>
      <c r="I1929" s="110"/>
    </row>
    <row r="1930" spans="3:9" ht="15.95" customHeight="1" x14ac:dyDescent="0.25">
      <c r="C1930" s="202"/>
      <c r="E1930" s="207">
        <v>3</v>
      </c>
      <c r="F1930" s="470">
        <v>1</v>
      </c>
      <c r="G1930" s="470"/>
      <c r="H1930" s="166"/>
      <c r="I1930" s="110"/>
    </row>
    <row r="1931" spans="3:9" ht="15.95" customHeight="1" x14ac:dyDescent="0.25">
      <c r="C1931" s="202"/>
      <c r="E1931" s="207">
        <v>4</v>
      </c>
      <c r="F1931" s="470">
        <v>1</v>
      </c>
      <c r="G1931" s="470"/>
      <c r="H1931" s="166"/>
      <c r="I1931" s="110"/>
    </row>
    <row r="1932" spans="3:9" ht="15.95" customHeight="1" x14ac:dyDescent="0.25">
      <c r="C1932" s="202"/>
      <c r="E1932" s="207">
        <v>5</v>
      </c>
      <c r="F1932" s="470">
        <v>1</v>
      </c>
      <c r="G1932" s="470"/>
      <c r="H1932" s="166"/>
      <c r="I1932" s="110"/>
    </row>
    <row r="1933" spans="3:9" ht="15.95" customHeight="1" x14ac:dyDescent="0.25">
      <c r="C1933" s="202"/>
      <c r="E1933" s="207">
        <v>6</v>
      </c>
      <c r="F1933" s="470">
        <v>1</v>
      </c>
      <c r="G1933" s="470"/>
      <c r="H1933" s="166"/>
      <c r="I1933" s="110"/>
    </row>
    <row r="1934" spans="3:9" ht="15.95" customHeight="1" x14ac:dyDescent="0.25">
      <c r="C1934" s="202"/>
      <c r="E1934" s="207">
        <v>7</v>
      </c>
      <c r="F1934" s="470">
        <v>1</v>
      </c>
      <c r="G1934" s="470"/>
      <c r="H1934" s="166"/>
      <c r="I1934" s="110"/>
    </row>
    <row r="1935" spans="3:9" ht="15.95" customHeight="1" x14ac:dyDescent="0.25">
      <c r="C1935" s="202"/>
      <c r="E1935" s="207">
        <v>8</v>
      </c>
      <c r="F1935" s="470">
        <v>1.0109999999999999</v>
      </c>
      <c r="G1935" s="470"/>
      <c r="H1935" s="166"/>
      <c r="I1935" s="110"/>
    </row>
    <row r="1936" spans="3:9" ht="15.95" customHeight="1" x14ac:dyDescent="0.25">
      <c r="C1936" s="202"/>
      <c r="E1936" s="207">
        <v>9</v>
      </c>
      <c r="F1936" s="470">
        <v>1.022</v>
      </c>
      <c r="G1936" s="470"/>
      <c r="H1936" s="166"/>
      <c r="I1936" s="110"/>
    </row>
    <row r="1937" spans="3:9" ht="15.95" customHeight="1" x14ac:dyDescent="0.25">
      <c r="C1937" s="202"/>
      <c r="E1937" s="207">
        <v>10</v>
      </c>
      <c r="F1937" s="470">
        <v>1.034</v>
      </c>
      <c r="G1937" s="470"/>
      <c r="H1937" s="166"/>
      <c r="I1937" s="110"/>
    </row>
    <row r="1938" spans="3:9" ht="15.95" customHeight="1" x14ac:dyDescent="0.25">
      <c r="C1938" s="202"/>
      <c r="E1938" s="207">
        <v>11</v>
      </c>
      <c r="F1938" s="470">
        <v>1.0449999999999999</v>
      </c>
      <c r="G1938" s="470"/>
    </row>
    <row r="1939" spans="3:9" ht="15.95" customHeight="1" x14ac:dyDescent="0.25">
      <c r="C1939" s="202"/>
      <c r="E1939" s="207">
        <v>12</v>
      </c>
      <c r="F1939" s="470">
        <v>1.0569999999999999</v>
      </c>
      <c r="G1939" s="470"/>
    </row>
    <row r="1940" spans="3:9" ht="15.95" customHeight="1" x14ac:dyDescent="0.25">
      <c r="C1940" s="202"/>
      <c r="E1940" s="207">
        <v>13</v>
      </c>
      <c r="F1940" s="470">
        <v>1.0680000000000001</v>
      </c>
      <c r="G1940" s="470"/>
    </row>
    <row r="1941" spans="3:9" ht="15.95" customHeight="1" x14ac:dyDescent="0.25">
      <c r="C1941" s="202"/>
      <c r="E1941" s="207">
        <v>14</v>
      </c>
      <c r="F1941" s="470">
        <v>1.08</v>
      </c>
      <c r="G1941" s="470"/>
    </row>
    <row r="1942" spans="3:9" ht="15.95" customHeight="1" x14ac:dyDescent="0.25">
      <c r="C1942" s="202"/>
      <c r="E1942" s="207">
        <v>15</v>
      </c>
      <c r="F1942" s="470">
        <v>1.0920000000000001</v>
      </c>
      <c r="G1942" s="470"/>
    </row>
    <row r="1943" spans="3:9" ht="15.95" customHeight="1" x14ac:dyDescent="0.25">
      <c r="C1943" s="202"/>
      <c r="E1943" s="207">
        <v>16</v>
      </c>
      <c r="F1943" s="470">
        <v>1.1040000000000001</v>
      </c>
      <c r="G1943" s="470"/>
    </row>
    <row r="1944" spans="3:9" ht="15.95" customHeight="1" x14ac:dyDescent="0.25">
      <c r="C1944" s="202"/>
      <c r="E1944" s="207">
        <v>17</v>
      </c>
      <c r="F1944" s="470">
        <v>1.1160000000000001</v>
      </c>
      <c r="G1944" s="470"/>
    </row>
    <row r="1945" spans="3:9" ht="15.95" customHeight="1" x14ac:dyDescent="0.25">
      <c r="C1945" s="202"/>
      <c r="E1945" s="207">
        <v>18</v>
      </c>
      <c r="F1945" s="470">
        <v>1.129</v>
      </c>
      <c r="G1945" s="470"/>
    </row>
    <row r="1946" spans="3:9" ht="15.95" customHeight="1" x14ac:dyDescent="0.25">
      <c r="C1946" s="202"/>
      <c r="E1946" s="207">
        <v>19</v>
      </c>
      <c r="F1946" s="470">
        <v>1.141</v>
      </c>
      <c r="G1946" s="470"/>
    </row>
    <row r="1947" spans="3:9" ht="15.95" customHeight="1" x14ac:dyDescent="0.25">
      <c r="C1947" s="202"/>
      <c r="E1947" s="207">
        <v>20</v>
      </c>
      <c r="F1947" s="470">
        <v>1.1539999999999999</v>
      </c>
      <c r="G1947" s="470"/>
    </row>
    <row r="1948" spans="3:9" ht="15.95" customHeight="1" x14ac:dyDescent="0.25">
      <c r="C1948" s="202"/>
      <c r="E1948" s="207">
        <v>21</v>
      </c>
      <c r="F1948" s="470">
        <v>1.1659999999999999</v>
      </c>
      <c r="G1948" s="470"/>
    </row>
    <row r="1949" spans="3:9" ht="15.95" customHeight="1" x14ac:dyDescent="0.25">
      <c r="C1949" s="202"/>
      <c r="E1949" s="207">
        <v>22</v>
      </c>
      <c r="F1949" s="470">
        <v>1.179</v>
      </c>
      <c r="G1949" s="470"/>
    </row>
    <row r="1950" spans="3:9" ht="15.95" customHeight="1" x14ac:dyDescent="0.25">
      <c r="C1950" s="202"/>
      <c r="E1950" s="207">
        <v>23</v>
      </c>
      <c r="F1950" s="470">
        <v>1.1919999999999999</v>
      </c>
      <c r="G1950" s="470"/>
    </row>
    <row r="1951" spans="3:9" ht="15.95" customHeight="1" x14ac:dyDescent="0.25">
      <c r="C1951" s="202"/>
      <c r="E1951" s="208">
        <v>24</v>
      </c>
      <c r="F1951" s="471">
        <v>1.206</v>
      </c>
      <c r="G1951" s="471"/>
    </row>
    <row r="1954" spans="2:10" ht="15.95" customHeight="1" thickBot="1" x14ac:dyDescent="0.3">
      <c r="B1954" s="109" t="s">
        <v>693</v>
      </c>
      <c r="C1954" s="104" t="s">
        <v>694</v>
      </c>
      <c r="G1954" s="157"/>
      <c r="J1954" s="110">
        <f>I1970</f>
        <v>69614</v>
      </c>
    </row>
    <row r="1955" spans="2:10" ht="15.95" customHeight="1" thickBot="1" x14ac:dyDescent="0.3">
      <c r="C1955" s="111" t="s">
        <v>328</v>
      </c>
      <c r="D1955" s="112" t="s">
        <v>359</v>
      </c>
      <c r="E1955" s="113" t="s">
        <v>360</v>
      </c>
      <c r="F1955" s="113" t="s">
        <v>330</v>
      </c>
      <c r="G1955" s="114" t="s">
        <v>361</v>
      </c>
      <c r="H1955" s="112" t="s">
        <v>362</v>
      </c>
      <c r="I1955" s="115" t="s">
        <v>363</v>
      </c>
    </row>
    <row r="1956" spans="2:10" ht="15.95" customHeight="1" x14ac:dyDescent="0.25">
      <c r="C1956" s="116" t="s">
        <v>364</v>
      </c>
      <c r="D1956" s="117" t="s">
        <v>365</v>
      </c>
      <c r="E1956" s="118"/>
      <c r="F1956" s="118"/>
      <c r="G1956" s="165"/>
      <c r="H1956" s="144"/>
      <c r="I1956" s="126"/>
    </row>
    <row r="1957" spans="2:10" ht="15.95" customHeight="1" x14ac:dyDescent="0.25">
      <c r="C1957" s="122"/>
      <c r="D1957" s="117" t="s">
        <v>366</v>
      </c>
      <c r="E1957" s="123" t="s">
        <v>367</v>
      </c>
      <c r="F1957" s="123" t="s">
        <v>368</v>
      </c>
      <c r="G1957" s="124">
        <v>1.9E-2</v>
      </c>
      <c r="H1957" s="125">
        <f>VLOOKUP(D1957,Upah,8,FALSE)</f>
        <v>125000</v>
      </c>
      <c r="I1957" s="126">
        <f>G1957*H1957</f>
        <v>2375</v>
      </c>
    </row>
    <row r="1958" spans="2:10" ht="15.95" customHeight="1" x14ac:dyDescent="0.25">
      <c r="C1958" s="122"/>
      <c r="D1958" s="117" t="s">
        <v>413</v>
      </c>
      <c r="E1958" s="123" t="s">
        <v>414</v>
      </c>
      <c r="F1958" s="123" t="s">
        <v>368</v>
      </c>
      <c r="G1958" s="124">
        <v>3.7999999999999999E-2</v>
      </c>
      <c r="H1958" s="125">
        <f>VLOOKUP(D1958,Upah,8,FALSE)</f>
        <v>150000</v>
      </c>
      <c r="I1958" s="126">
        <f>G1958*H1958</f>
        <v>5700</v>
      </c>
    </row>
    <row r="1959" spans="2:10" ht="15.95" customHeight="1" x14ac:dyDescent="0.25">
      <c r="C1959" s="122"/>
      <c r="D1959" s="117" t="s">
        <v>695</v>
      </c>
      <c r="E1959" s="118" t="s">
        <v>671</v>
      </c>
      <c r="F1959" s="123" t="s">
        <v>368</v>
      </c>
      <c r="G1959" s="124">
        <v>1.9E-2</v>
      </c>
      <c r="H1959" s="125">
        <f>VLOOKUP(D1959,Upah,8,FALSE)</f>
        <v>165000</v>
      </c>
      <c r="I1959" s="126">
        <f>G1959*H1959</f>
        <v>3135</v>
      </c>
    </row>
    <row r="1960" spans="2:10" ht="15.95" customHeight="1" thickBot="1" x14ac:dyDescent="0.3">
      <c r="C1960" s="122"/>
      <c r="D1960" s="117" t="s">
        <v>696</v>
      </c>
      <c r="E1960" s="118" t="s">
        <v>673</v>
      </c>
      <c r="F1960" s="123" t="s">
        <v>368</v>
      </c>
      <c r="G1960" s="124">
        <v>1.9E-2</v>
      </c>
      <c r="H1960" s="125">
        <f>VLOOKUP(D1960,Upah,8,FALSE)</f>
        <v>148500</v>
      </c>
      <c r="I1960" s="126">
        <f>G1960*H1960</f>
        <v>2821.5</v>
      </c>
    </row>
    <row r="1961" spans="2:10" ht="15.95" customHeight="1" thickBot="1" x14ac:dyDescent="0.3">
      <c r="C1961" s="132"/>
      <c r="D1961" s="133"/>
      <c r="E1961" s="134"/>
      <c r="F1961" s="134"/>
      <c r="G1961" s="135" t="s">
        <v>375</v>
      </c>
      <c r="H1961" s="136"/>
      <c r="I1961" s="137">
        <f>SUM(I1957:I1960)</f>
        <v>14031.5</v>
      </c>
    </row>
    <row r="1962" spans="2:10" ht="15.95" customHeight="1" x14ac:dyDescent="0.25">
      <c r="C1962" s="116" t="s">
        <v>376</v>
      </c>
      <c r="D1962" s="117" t="s">
        <v>377</v>
      </c>
      <c r="E1962" s="118"/>
      <c r="F1962" s="118"/>
      <c r="G1962" s="165"/>
      <c r="H1962" s="144"/>
      <c r="I1962" s="126"/>
    </row>
    <row r="1963" spans="2:10" ht="15.95" customHeight="1" thickBot="1" x14ac:dyDescent="0.3">
      <c r="C1963" s="122"/>
      <c r="D1963" s="117" t="s">
        <v>676</v>
      </c>
      <c r="E1963" s="118"/>
      <c r="F1963" s="123" t="s">
        <v>636</v>
      </c>
      <c r="G1963" s="124">
        <v>1.897</v>
      </c>
      <c r="H1963" s="144">
        <f>VLOOKUP(D1963,Bahan,6,FALSE)</f>
        <v>10540</v>
      </c>
      <c r="I1963" s="126">
        <f>G1963*H1963</f>
        <v>19994.38</v>
      </c>
    </row>
    <row r="1964" spans="2:10" ht="15.95" customHeight="1" thickBot="1" x14ac:dyDescent="0.3">
      <c r="C1964" s="132"/>
      <c r="D1964" s="133"/>
      <c r="E1964" s="134"/>
      <c r="F1964" s="134"/>
      <c r="G1964" s="135" t="s">
        <v>386</v>
      </c>
      <c r="H1964" s="136"/>
      <c r="I1964" s="137">
        <f>SUM(I1963)</f>
        <v>19994.38</v>
      </c>
    </row>
    <row r="1965" spans="2:10" ht="15.95" customHeight="1" x14ac:dyDescent="0.25">
      <c r="C1965" s="116" t="s">
        <v>387</v>
      </c>
      <c r="D1965" s="117" t="s">
        <v>388</v>
      </c>
      <c r="E1965" s="118"/>
      <c r="F1965" s="118"/>
      <c r="G1965" s="165"/>
      <c r="H1965" s="144"/>
      <c r="I1965" s="126"/>
    </row>
    <row r="1966" spans="2:10" ht="15.95" customHeight="1" thickBot="1" x14ac:dyDescent="0.3">
      <c r="C1966" s="122"/>
      <c r="D1966" s="117" t="s">
        <v>697</v>
      </c>
      <c r="E1966" s="118"/>
      <c r="F1966" s="123" t="s">
        <v>698</v>
      </c>
      <c r="G1966" s="124">
        <v>1.9E-2</v>
      </c>
      <c r="H1966" s="144">
        <f>VLOOKUP(D1966,Bahan,6,FALSE)</f>
        <v>1540000</v>
      </c>
      <c r="I1966" s="126">
        <f>G1966*H1966</f>
        <v>29260</v>
      </c>
    </row>
    <row r="1967" spans="2:10" ht="15.95" customHeight="1" thickBot="1" x14ac:dyDescent="0.3">
      <c r="C1967" s="132"/>
      <c r="D1967" s="133"/>
      <c r="E1967" s="134"/>
      <c r="F1967" s="134"/>
      <c r="G1967" s="135" t="s">
        <v>389</v>
      </c>
      <c r="H1967" s="136"/>
      <c r="I1967" s="137">
        <f>I1966</f>
        <v>29260</v>
      </c>
    </row>
    <row r="1968" spans="2:10" ht="15.95" customHeight="1" x14ac:dyDescent="0.25">
      <c r="C1968" s="158" t="s">
        <v>390</v>
      </c>
      <c r="D1968" s="159" t="s">
        <v>391</v>
      </c>
      <c r="E1968" s="160"/>
      <c r="F1968" s="160"/>
      <c r="G1968" s="161"/>
      <c r="H1968" s="162">
        <f>IF(AND(D1968&lt;&gt;"",F1968&lt;&gt;""),IF(C1968="",IF(F1968="OH",VLOOKUP(D1968,[1]UPAH!$B$3:$G$32,7,0),VLOOKUP(D1968,[1]BAHAN!$A$2:$D$3,4,0)),0),0)</f>
        <v>0</v>
      </c>
      <c r="I1968" s="126">
        <f>SUM(I1957:I1967)/2</f>
        <v>63285.880000000005</v>
      </c>
    </row>
    <row r="1969" spans="2:10" ht="15.95" customHeight="1" thickBot="1" x14ac:dyDescent="0.3">
      <c r="C1969" s="147" t="s">
        <v>392</v>
      </c>
      <c r="D1969" s="148" t="s">
        <v>393</v>
      </c>
      <c r="E1969" s="149"/>
      <c r="F1969" s="149"/>
      <c r="G1969" s="164">
        <v>0.1</v>
      </c>
      <c r="H1969" s="151"/>
      <c r="I1969" s="146">
        <f>G1969*I1968</f>
        <v>6328.5880000000006</v>
      </c>
    </row>
    <row r="1970" spans="2:10" ht="15.95" customHeight="1" thickBot="1" x14ac:dyDescent="0.3">
      <c r="C1970" s="111" t="s">
        <v>394</v>
      </c>
      <c r="D1970" s="112" t="s">
        <v>395</v>
      </c>
      <c r="E1970" s="134"/>
      <c r="F1970" s="134"/>
      <c r="G1970" s="156"/>
      <c r="H1970" s="136">
        <f>IF(AND(D1970&lt;&gt;"",F1970&lt;&gt;""),IF(C1970="",IF(F1970="OH",VLOOKUP(D1970,[1]UPAH!$B$3:$G$32,7,0),VLOOKUP(D1970,[1]BAHAN!$A$2:$D$3,4,0)),0),0)</f>
        <v>0</v>
      </c>
      <c r="I1970" s="137">
        <f>ROUNDDOWN(I1968+I1969,0)</f>
        <v>69614</v>
      </c>
    </row>
    <row r="1971" spans="2:10" ht="15.95" customHeight="1" x14ac:dyDescent="0.25">
      <c r="C1971" s="109"/>
      <c r="D1971" s="109"/>
      <c r="G1971" s="157"/>
      <c r="H1971" s="166"/>
      <c r="I1971" s="110"/>
    </row>
    <row r="1972" spans="2:10" ht="15.95" customHeight="1" thickBot="1" x14ac:dyDescent="0.3">
      <c r="B1972" s="109" t="s">
        <v>699</v>
      </c>
      <c r="C1972" s="104" t="s">
        <v>700</v>
      </c>
      <c r="G1972" s="157"/>
      <c r="J1972" s="110">
        <f>I1988</f>
        <v>69614</v>
      </c>
    </row>
    <row r="1973" spans="2:10" ht="15.95" customHeight="1" thickBot="1" x14ac:dyDescent="0.3">
      <c r="C1973" s="111" t="s">
        <v>328</v>
      </c>
      <c r="D1973" s="112" t="s">
        <v>359</v>
      </c>
      <c r="E1973" s="113" t="s">
        <v>360</v>
      </c>
      <c r="F1973" s="113" t="s">
        <v>330</v>
      </c>
      <c r="G1973" s="114" t="s">
        <v>361</v>
      </c>
      <c r="H1973" s="112" t="s">
        <v>362</v>
      </c>
      <c r="I1973" s="115" t="s">
        <v>363</v>
      </c>
    </row>
    <row r="1974" spans="2:10" ht="15.95" customHeight="1" x14ac:dyDescent="0.25">
      <c r="C1974" s="116" t="s">
        <v>364</v>
      </c>
      <c r="D1974" s="117" t="s">
        <v>365</v>
      </c>
      <c r="E1974" s="118"/>
      <c r="F1974" s="118"/>
      <c r="G1974" s="165"/>
      <c r="H1974" s="144"/>
      <c r="I1974" s="126"/>
    </row>
    <row r="1975" spans="2:10" ht="15.95" customHeight="1" x14ac:dyDescent="0.25">
      <c r="C1975" s="122"/>
      <c r="D1975" s="117" t="s">
        <v>366</v>
      </c>
      <c r="E1975" s="123" t="s">
        <v>367</v>
      </c>
      <c r="F1975" s="123" t="s">
        <v>368</v>
      </c>
      <c r="G1975" s="124">
        <v>1.9E-2</v>
      </c>
      <c r="H1975" s="125">
        <f>VLOOKUP(D1975,Upah,8,FALSE)</f>
        <v>125000</v>
      </c>
      <c r="I1975" s="126">
        <f>G1975*H1975</f>
        <v>2375</v>
      </c>
    </row>
    <row r="1976" spans="2:10" ht="15.95" customHeight="1" x14ac:dyDescent="0.25">
      <c r="C1976" s="122"/>
      <c r="D1976" s="117" t="s">
        <v>413</v>
      </c>
      <c r="E1976" s="123" t="s">
        <v>414</v>
      </c>
      <c r="F1976" s="123" t="s">
        <v>368</v>
      </c>
      <c r="G1976" s="124">
        <v>3.7999999999999999E-2</v>
      </c>
      <c r="H1976" s="125">
        <f>VLOOKUP(D1976,Upah,8,FALSE)</f>
        <v>150000</v>
      </c>
      <c r="I1976" s="126">
        <f>G1976*H1976</f>
        <v>5700</v>
      </c>
    </row>
    <row r="1977" spans="2:10" ht="15.95" customHeight="1" x14ac:dyDescent="0.25">
      <c r="C1977" s="122"/>
      <c r="D1977" s="117" t="s">
        <v>695</v>
      </c>
      <c r="E1977" s="118" t="s">
        <v>671</v>
      </c>
      <c r="F1977" s="123" t="s">
        <v>368</v>
      </c>
      <c r="G1977" s="124">
        <v>1.9E-2</v>
      </c>
      <c r="H1977" s="125">
        <f>VLOOKUP(D1977,Upah,8,FALSE)</f>
        <v>165000</v>
      </c>
      <c r="I1977" s="126">
        <f>G1977*H1977</f>
        <v>3135</v>
      </c>
    </row>
    <row r="1978" spans="2:10" ht="15.95" customHeight="1" thickBot="1" x14ac:dyDescent="0.3">
      <c r="C1978" s="122"/>
      <c r="D1978" s="117" t="s">
        <v>696</v>
      </c>
      <c r="E1978" s="118" t="s">
        <v>673</v>
      </c>
      <c r="F1978" s="123" t="s">
        <v>368</v>
      </c>
      <c r="G1978" s="124">
        <v>1.9E-2</v>
      </c>
      <c r="H1978" s="125">
        <f>VLOOKUP(D1978,Upah,8,FALSE)</f>
        <v>148500</v>
      </c>
      <c r="I1978" s="126">
        <f>G1978*H1978</f>
        <v>2821.5</v>
      </c>
    </row>
    <row r="1979" spans="2:10" ht="15.95" customHeight="1" thickBot="1" x14ac:dyDescent="0.3">
      <c r="C1979" s="132"/>
      <c r="D1979" s="133"/>
      <c r="E1979" s="134"/>
      <c r="F1979" s="134"/>
      <c r="G1979" s="135" t="s">
        <v>375</v>
      </c>
      <c r="H1979" s="136"/>
      <c r="I1979" s="137">
        <f>SUM(I1975:I1978)</f>
        <v>14031.5</v>
      </c>
    </row>
    <row r="1980" spans="2:10" ht="15.95" customHeight="1" x14ac:dyDescent="0.25">
      <c r="C1980" s="116" t="s">
        <v>376</v>
      </c>
      <c r="D1980" s="117" t="s">
        <v>377</v>
      </c>
      <c r="E1980" s="118"/>
      <c r="F1980" s="118"/>
      <c r="G1980" s="165"/>
      <c r="H1980" s="144"/>
      <c r="I1980" s="126"/>
    </row>
    <row r="1981" spans="2:10" ht="15.95" customHeight="1" thickBot="1" x14ac:dyDescent="0.3">
      <c r="C1981" s="122"/>
      <c r="D1981" s="117" t="s">
        <v>676</v>
      </c>
      <c r="E1981" s="118"/>
      <c r="F1981" s="123" t="s">
        <v>636</v>
      </c>
      <c r="G1981" s="124">
        <v>1.897</v>
      </c>
      <c r="H1981" s="144">
        <f>VLOOKUP(D1981,Bahan,6,FALSE)</f>
        <v>10540</v>
      </c>
      <c r="I1981" s="126">
        <f>G1981*H1981</f>
        <v>19994.38</v>
      </c>
    </row>
    <row r="1982" spans="2:10" ht="15.95" customHeight="1" thickBot="1" x14ac:dyDescent="0.3">
      <c r="C1982" s="132"/>
      <c r="D1982" s="133"/>
      <c r="E1982" s="134"/>
      <c r="F1982" s="134"/>
      <c r="G1982" s="135" t="s">
        <v>386</v>
      </c>
      <c r="H1982" s="136"/>
      <c r="I1982" s="137">
        <f>SUM(I1981)</f>
        <v>19994.38</v>
      </c>
    </row>
    <row r="1983" spans="2:10" ht="15.95" customHeight="1" x14ac:dyDescent="0.25">
      <c r="C1983" s="116" t="s">
        <v>387</v>
      </c>
      <c r="D1983" s="117" t="s">
        <v>388</v>
      </c>
      <c r="E1983" s="118"/>
      <c r="F1983" s="118"/>
      <c r="G1983" s="165"/>
      <c r="H1983" s="144"/>
      <c r="I1983" s="126"/>
    </row>
    <row r="1984" spans="2:10" ht="15.95" customHeight="1" thickBot="1" x14ac:dyDescent="0.3">
      <c r="C1984" s="122"/>
      <c r="D1984" s="117" t="s">
        <v>697</v>
      </c>
      <c r="E1984" s="118"/>
      <c r="F1984" s="123" t="s">
        <v>698</v>
      </c>
      <c r="G1984" s="124">
        <v>1.9E-2</v>
      </c>
      <c r="H1984" s="144">
        <f>VLOOKUP(D1984,Bahan,6,FALSE)</f>
        <v>1540000</v>
      </c>
      <c r="I1984" s="126">
        <f>G1984*H1984</f>
        <v>29260</v>
      </c>
    </row>
    <row r="1985" spans="2:10" ht="15.95" customHeight="1" thickBot="1" x14ac:dyDescent="0.3">
      <c r="C1985" s="132"/>
      <c r="D1985" s="133"/>
      <c r="E1985" s="134"/>
      <c r="F1985" s="134"/>
      <c r="G1985" s="135" t="s">
        <v>389</v>
      </c>
      <c r="H1985" s="136"/>
      <c r="I1985" s="137">
        <f>I1984</f>
        <v>29260</v>
      </c>
    </row>
    <row r="1986" spans="2:10" ht="15.95" customHeight="1" x14ac:dyDescent="0.25">
      <c r="C1986" s="158" t="s">
        <v>390</v>
      </c>
      <c r="D1986" s="159" t="s">
        <v>391</v>
      </c>
      <c r="E1986" s="160"/>
      <c r="F1986" s="160"/>
      <c r="G1986" s="161"/>
      <c r="H1986" s="162">
        <f>IF(AND(D1986&lt;&gt;"",F1986&lt;&gt;""),IF(C1986="",IF(F1986="OH",VLOOKUP(D1986,[1]UPAH!$B$3:$G$32,7,0),VLOOKUP(D1986,[1]BAHAN!$A$2:$D$3,4,0)),0),0)</f>
        <v>0</v>
      </c>
      <c r="I1986" s="126">
        <f>SUM(I1975:I1985)/2</f>
        <v>63285.880000000005</v>
      </c>
    </row>
    <row r="1987" spans="2:10" ht="15.95" customHeight="1" thickBot="1" x14ac:dyDescent="0.3">
      <c r="C1987" s="147" t="s">
        <v>392</v>
      </c>
      <c r="D1987" s="148" t="s">
        <v>393</v>
      </c>
      <c r="E1987" s="149"/>
      <c r="F1987" s="149"/>
      <c r="G1987" s="164">
        <v>0.1</v>
      </c>
      <c r="H1987" s="151"/>
      <c r="I1987" s="146">
        <f>G1987*I1986</f>
        <v>6328.5880000000006</v>
      </c>
    </row>
    <row r="1988" spans="2:10" ht="15.95" customHeight="1" thickBot="1" x14ac:dyDescent="0.3">
      <c r="C1988" s="111" t="s">
        <v>394</v>
      </c>
      <c r="D1988" s="112" t="s">
        <v>395</v>
      </c>
      <c r="E1988" s="134"/>
      <c r="F1988" s="134"/>
      <c r="G1988" s="156"/>
      <c r="H1988" s="136">
        <f>IF(AND(D1988&lt;&gt;"",F1988&lt;&gt;""),IF(C1988="",IF(F1988="OH",VLOOKUP(D1988,[1]UPAH!$B$3:$G$32,7,0),VLOOKUP(D1988,[1]BAHAN!$A$2:$D$3,4,0)),0),0)</f>
        <v>0</v>
      </c>
      <c r="I1988" s="137">
        <f>ROUNDDOWN(I1986+I1987,0)</f>
        <v>69614</v>
      </c>
    </row>
    <row r="1989" spans="2:10" ht="15.95" customHeight="1" x14ac:dyDescent="0.25">
      <c r="C1989" s="109"/>
      <c r="D1989" s="109"/>
      <c r="G1989" s="157"/>
      <c r="H1989" s="166"/>
      <c r="I1989" s="110"/>
    </row>
    <row r="1990" spans="2:10" ht="15.95" customHeight="1" thickBot="1" x14ac:dyDescent="0.3">
      <c r="B1990" s="109" t="s">
        <v>701</v>
      </c>
      <c r="C1990" s="104" t="s">
        <v>702</v>
      </c>
      <c r="G1990" s="157"/>
      <c r="J1990" s="110">
        <f>I2006</f>
        <v>69614</v>
      </c>
    </row>
    <row r="1991" spans="2:10" ht="15.95" customHeight="1" thickBot="1" x14ac:dyDescent="0.3">
      <c r="C1991" s="111" t="s">
        <v>328</v>
      </c>
      <c r="D1991" s="112" t="s">
        <v>359</v>
      </c>
      <c r="E1991" s="113" t="s">
        <v>360</v>
      </c>
      <c r="F1991" s="113" t="s">
        <v>330</v>
      </c>
      <c r="G1991" s="114" t="s">
        <v>361</v>
      </c>
      <c r="H1991" s="112" t="s">
        <v>362</v>
      </c>
      <c r="I1991" s="115" t="s">
        <v>363</v>
      </c>
    </row>
    <row r="1992" spans="2:10" ht="15.95" customHeight="1" x14ac:dyDescent="0.25">
      <c r="C1992" s="116" t="s">
        <v>364</v>
      </c>
      <c r="D1992" s="117" t="s">
        <v>365</v>
      </c>
      <c r="E1992" s="118"/>
      <c r="F1992" s="118"/>
      <c r="G1992" s="165"/>
      <c r="H1992" s="144"/>
      <c r="I1992" s="126"/>
    </row>
    <row r="1993" spans="2:10" ht="15.95" customHeight="1" x14ac:dyDescent="0.25">
      <c r="C1993" s="122"/>
      <c r="D1993" s="117" t="s">
        <v>366</v>
      </c>
      <c r="E1993" s="123" t="s">
        <v>367</v>
      </c>
      <c r="F1993" s="123" t="s">
        <v>368</v>
      </c>
      <c r="G1993" s="124">
        <v>1.9E-2</v>
      </c>
      <c r="H1993" s="125">
        <f>VLOOKUP(D1993,Upah,8,FALSE)</f>
        <v>125000</v>
      </c>
      <c r="I1993" s="126">
        <f>G1993*H1993</f>
        <v>2375</v>
      </c>
    </row>
    <row r="1994" spans="2:10" ht="15.95" customHeight="1" x14ac:dyDescent="0.25">
      <c r="C1994" s="122"/>
      <c r="D1994" s="117" t="s">
        <v>413</v>
      </c>
      <c r="E1994" s="123" t="s">
        <v>414</v>
      </c>
      <c r="F1994" s="123" t="s">
        <v>368</v>
      </c>
      <c r="G1994" s="124">
        <v>3.7999999999999999E-2</v>
      </c>
      <c r="H1994" s="125">
        <f>VLOOKUP(D1994,Upah,8,FALSE)</f>
        <v>150000</v>
      </c>
      <c r="I1994" s="126">
        <f>G1994*H1994</f>
        <v>5700</v>
      </c>
    </row>
    <row r="1995" spans="2:10" ht="15.95" customHeight="1" x14ac:dyDescent="0.25">
      <c r="C1995" s="122"/>
      <c r="D1995" s="117" t="s">
        <v>695</v>
      </c>
      <c r="E1995" s="118" t="s">
        <v>671</v>
      </c>
      <c r="F1995" s="123" t="s">
        <v>368</v>
      </c>
      <c r="G1995" s="124">
        <v>1.9E-2</v>
      </c>
      <c r="H1995" s="125">
        <f>VLOOKUP(D1995,Upah,8,FALSE)</f>
        <v>165000</v>
      </c>
      <c r="I1995" s="126">
        <f>G1995*H1995</f>
        <v>3135</v>
      </c>
    </row>
    <row r="1996" spans="2:10" ht="15.95" customHeight="1" thickBot="1" x14ac:dyDescent="0.3">
      <c r="C1996" s="122"/>
      <c r="D1996" s="117" t="s">
        <v>696</v>
      </c>
      <c r="E1996" s="118" t="s">
        <v>673</v>
      </c>
      <c r="F1996" s="123" t="s">
        <v>368</v>
      </c>
      <c r="G1996" s="124">
        <v>1.9E-2</v>
      </c>
      <c r="H1996" s="125">
        <f>VLOOKUP(D1996,Upah,8,FALSE)</f>
        <v>148500</v>
      </c>
      <c r="I1996" s="126">
        <f>G1996*H1996</f>
        <v>2821.5</v>
      </c>
    </row>
    <row r="1997" spans="2:10" ht="15.95" customHeight="1" thickBot="1" x14ac:dyDescent="0.3">
      <c r="C1997" s="132"/>
      <c r="D1997" s="133"/>
      <c r="E1997" s="134"/>
      <c r="F1997" s="134"/>
      <c r="G1997" s="135" t="s">
        <v>375</v>
      </c>
      <c r="H1997" s="136"/>
      <c r="I1997" s="137">
        <f>SUM(I1993:I1996)</f>
        <v>14031.5</v>
      </c>
    </row>
    <row r="1998" spans="2:10" ht="15.95" customHeight="1" x14ac:dyDescent="0.25">
      <c r="C1998" s="116" t="s">
        <v>376</v>
      </c>
      <c r="D1998" s="117" t="s">
        <v>377</v>
      </c>
      <c r="E1998" s="118"/>
      <c r="F1998" s="118"/>
      <c r="G1998" s="165"/>
      <c r="H1998" s="144"/>
      <c r="I1998" s="126"/>
    </row>
    <row r="1999" spans="2:10" ht="15.95" customHeight="1" thickBot="1" x14ac:dyDescent="0.3">
      <c r="C1999" s="122"/>
      <c r="D1999" s="117" t="s">
        <v>676</v>
      </c>
      <c r="E1999" s="118"/>
      <c r="F1999" s="123" t="s">
        <v>636</v>
      </c>
      <c r="G1999" s="124">
        <v>1.897</v>
      </c>
      <c r="H1999" s="144">
        <f>VLOOKUP(D1999,Bahan,6,FALSE)</f>
        <v>10540</v>
      </c>
      <c r="I1999" s="126">
        <f>G1999*H1999</f>
        <v>19994.38</v>
      </c>
    </row>
    <row r="2000" spans="2:10" ht="15.95" customHeight="1" thickBot="1" x14ac:dyDescent="0.3">
      <c r="C2000" s="132"/>
      <c r="D2000" s="133"/>
      <c r="E2000" s="134"/>
      <c r="F2000" s="134"/>
      <c r="G2000" s="135" t="s">
        <v>386</v>
      </c>
      <c r="H2000" s="136"/>
      <c r="I2000" s="137">
        <f>SUM(I1999)</f>
        <v>19994.38</v>
      </c>
    </row>
    <row r="2001" spans="2:10" ht="15.95" customHeight="1" x14ac:dyDescent="0.25">
      <c r="C2001" s="116" t="s">
        <v>387</v>
      </c>
      <c r="D2001" s="117" t="s">
        <v>388</v>
      </c>
      <c r="E2001" s="118"/>
      <c r="F2001" s="118"/>
      <c r="G2001" s="165"/>
      <c r="H2001" s="144"/>
      <c r="I2001" s="126"/>
    </row>
    <row r="2002" spans="2:10" ht="15.95" customHeight="1" thickBot="1" x14ac:dyDescent="0.3">
      <c r="C2002" s="122"/>
      <c r="D2002" s="117" t="s">
        <v>697</v>
      </c>
      <c r="E2002" s="118"/>
      <c r="F2002" s="123" t="s">
        <v>698</v>
      </c>
      <c r="G2002" s="124">
        <v>1.9E-2</v>
      </c>
      <c r="H2002" s="144">
        <f>VLOOKUP(D2002,Bahan,6,FALSE)</f>
        <v>1540000</v>
      </c>
      <c r="I2002" s="126">
        <f>G2002*H2002</f>
        <v>29260</v>
      </c>
    </row>
    <row r="2003" spans="2:10" ht="15.95" customHeight="1" thickBot="1" x14ac:dyDescent="0.3">
      <c r="C2003" s="132"/>
      <c r="D2003" s="133"/>
      <c r="E2003" s="134"/>
      <c r="F2003" s="134"/>
      <c r="G2003" s="135" t="s">
        <v>389</v>
      </c>
      <c r="H2003" s="136"/>
      <c r="I2003" s="137">
        <f>I2002</f>
        <v>29260</v>
      </c>
    </row>
    <row r="2004" spans="2:10" ht="15.95" customHeight="1" x14ac:dyDescent="0.25">
      <c r="C2004" s="158" t="s">
        <v>390</v>
      </c>
      <c r="D2004" s="159" t="s">
        <v>391</v>
      </c>
      <c r="E2004" s="160"/>
      <c r="F2004" s="160"/>
      <c r="G2004" s="161"/>
      <c r="H2004" s="162">
        <f>IF(AND(D2004&lt;&gt;"",F2004&lt;&gt;""),IF(C2004="",IF(F2004="OH",VLOOKUP(D2004,[1]UPAH!$B$3:$G$32,7,0),VLOOKUP(D2004,[1]BAHAN!$A$2:$D$3,4,0)),0),0)</f>
        <v>0</v>
      </c>
      <c r="I2004" s="126">
        <f>SUM(I1993:I2003)/2</f>
        <v>63285.880000000005</v>
      </c>
    </row>
    <row r="2005" spans="2:10" ht="15.95" customHeight="1" thickBot="1" x14ac:dyDescent="0.3">
      <c r="C2005" s="147" t="s">
        <v>392</v>
      </c>
      <c r="D2005" s="148" t="s">
        <v>393</v>
      </c>
      <c r="E2005" s="149"/>
      <c r="F2005" s="149"/>
      <c r="G2005" s="164">
        <v>0.1</v>
      </c>
      <c r="H2005" s="151"/>
      <c r="I2005" s="146">
        <f>G2005*I2004</f>
        <v>6328.5880000000006</v>
      </c>
    </row>
    <row r="2006" spans="2:10" ht="15.95" customHeight="1" thickBot="1" x14ac:dyDescent="0.3">
      <c r="C2006" s="111" t="s">
        <v>394</v>
      </c>
      <c r="D2006" s="112" t="s">
        <v>395</v>
      </c>
      <c r="E2006" s="134"/>
      <c r="F2006" s="134"/>
      <c r="G2006" s="156"/>
      <c r="H2006" s="136">
        <f>IF(AND(D2006&lt;&gt;"",F2006&lt;&gt;""),IF(C2006="",IF(F2006="OH",VLOOKUP(D2006,[1]UPAH!$B$3:$G$32,7,0),VLOOKUP(D2006,[1]BAHAN!$A$2:$D$3,4,0)),0),0)</f>
        <v>0</v>
      </c>
      <c r="I2006" s="137">
        <f>ROUNDDOWN(I2004+I2005,0)</f>
        <v>69614</v>
      </c>
    </row>
    <row r="2007" spans="2:10" ht="15.95" customHeight="1" x14ac:dyDescent="0.25">
      <c r="C2007" s="109"/>
      <c r="D2007" s="109"/>
      <c r="G2007" s="157"/>
    </row>
    <row r="2008" spans="2:10" ht="15.95" customHeight="1" thickBot="1" x14ac:dyDescent="0.3">
      <c r="B2008" s="109" t="s">
        <v>703</v>
      </c>
      <c r="C2008" s="104" t="s">
        <v>704</v>
      </c>
      <c r="G2008" s="157"/>
      <c r="J2008" s="110">
        <f>I2021</f>
        <v>4744025</v>
      </c>
    </row>
    <row r="2009" spans="2:10" ht="15.95" customHeight="1" thickBot="1" x14ac:dyDescent="0.3">
      <c r="C2009" s="111" t="s">
        <v>328</v>
      </c>
      <c r="D2009" s="112" t="s">
        <v>359</v>
      </c>
      <c r="E2009" s="113" t="s">
        <v>360</v>
      </c>
      <c r="F2009" s="113" t="s">
        <v>330</v>
      </c>
      <c r="G2009" s="114" t="s">
        <v>361</v>
      </c>
      <c r="H2009" s="112" t="s">
        <v>362</v>
      </c>
      <c r="I2009" s="115" t="s">
        <v>363</v>
      </c>
    </row>
    <row r="2010" spans="2:10" ht="15.95" customHeight="1" thickBot="1" x14ac:dyDescent="0.3">
      <c r="C2010" s="116" t="s">
        <v>364</v>
      </c>
      <c r="D2010" s="117" t="s">
        <v>365</v>
      </c>
      <c r="E2010" s="118"/>
      <c r="F2010" s="118"/>
      <c r="G2010" s="165"/>
      <c r="H2010" s="144"/>
      <c r="I2010" s="126"/>
    </row>
    <row r="2011" spans="2:10" ht="15.95" customHeight="1" thickBot="1" x14ac:dyDescent="0.3">
      <c r="C2011" s="132"/>
      <c r="D2011" s="133"/>
      <c r="E2011" s="134"/>
      <c r="F2011" s="134"/>
      <c r="G2011" s="135" t="s">
        <v>375</v>
      </c>
      <c r="H2011" s="136"/>
      <c r="I2011" s="137">
        <f>SUM(I2007:I2010)</f>
        <v>0</v>
      </c>
    </row>
    <row r="2012" spans="2:10" ht="15.95" customHeight="1" x14ac:dyDescent="0.25">
      <c r="C2012" s="116" t="s">
        <v>376</v>
      </c>
      <c r="D2012" s="117" t="s">
        <v>377</v>
      </c>
      <c r="E2012" s="118"/>
      <c r="F2012" s="118"/>
      <c r="G2012" s="165"/>
      <c r="H2012" s="144">
        <f>IF(AND(D2012&lt;&gt;"",F2012&lt;&gt;""),IF(C2012="",IF(F2012="OH",VLOOKUP(D2012,[1]UPAH!$B$3:$G$32,7,0),VLOOKUP(D2012,[1]BAHAN!$A$2:$D$3,4,0)),0),0)</f>
        <v>0</v>
      </c>
      <c r="I2012" s="126">
        <f>G2012*H2012</f>
        <v>0</v>
      </c>
    </row>
    <row r="2013" spans="2:10" ht="15.95" customHeight="1" x14ac:dyDescent="0.25">
      <c r="C2013" s="122"/>
      <c r="D2013" s="117" t="s">
        <v>705</v>
      </c>
      <c r="E2013" s="118"/>
      <c r="F2013" s="123" t="s">
        <v>159</v>
      </c>
      <c r="G2013" s="124">
        <v>1200</v>
      </c>
      <c r="H2013" s="144">
        <f>VLOOKUP(D2013,Bahan,6,FALSE)</f>
        <v>1920</v>
      </c>
      <c r="I2013" s="126">
        <f>G2013*H2013</f>
        <v>2304000</v>
      </c>
    </row>
    <row r="2014" spans="2:10" ht="15.95" customHeight="1" x14ac:dyDescent="0.25">
      <c r="C2014" s="122"/>
      <c r="D2014" s="117" t="s">
        <v>706</v>
      </c>
      <c r="E2014" s="118"/>
      <c r="F2014" s="123" t="s">
        <v>159</v>
      </c>
      <c r="G2014" s="124">
        <v>650</v>
      </c>
      <c r="H2014" s="144">
        <f>VLOOKUP(D2014,Bahan,6,FALSE)</f>
        <v>3050</v>
      </c>
      <c r="I2014" s="126">
        <f>G2014*H2014</f>
        <v>1982500</v>
      </c>
    </row>
    <row r="2015" spans="2:10" ht="15.95" customHeight="1" thickBot="1" x14ac:dyDescent="0.3">
      <c r="C2015" s="122"/>
      <c r="D2015" s="117" t="s">
        <v>532</v>
      </c>
      <c r="E2015" s="118"/>
      <c r="F2015" s="123" t="s">
        <v>636</v>
      </c>
      <c r="G2015" s="124">
        <v>350</v>
      </c>
      <c r="H2015" s="144">
        <f>VLOOKUP(D2015,Bahan,6,FALSE)</f>
        <v>75</v>
      </c>
      <c r="I2015" s="126">
        <f>G2015*H2015</f>
        <v>26250</v>
      </c>
    </row>
    <row r="2016" spans="2:10" ht="15.95" customHeight="1" thickBot="1" x14ac:dyDescent="0.3">
      <c r="C2016" s="132"/>
      <c r="D2016" s="133"/>
      <c r="E2016" s="134"/>
      <c r="F2016" s="134"/>
      <c r="G2016" s="135" t="s">
        <v>386</v>
      </c>
      <c r="H2016" s="136"/>
      <c r="I2016" s="137">
        <f>SUM(I2012:I2015)</f>
        <v>4312750</v>
      </c>
    </row>
    <row r="2017" spans="2:10" ht="15.95" customHeight="1" thickBot="1" x14ac:dyDescent="0.3">
      <c r="C2017" s="116" t="s">
        <v>387</v>
      </c>
      <c r="D2017" s="117" t="s">
        <v>388</v>
      </c>
      <c r="E2017" s="118"/>
      <c r="F2017" s="118"/>
      <c r="G2017" s="165"/>
      <c r="H2017" s="144"/>
      <c r="I2017" s="126"/>
    </row>
    <row r="2018" spans="2:10" ht="15.95" customHeight="1" thickBot="1" x14ac:dyDescent="0.3">
      <c r="C2018" s="132"/>
      <c r="D2018" s="133"/>
      <c r="E2018" s="134"/>
      <c r="F2018" s="134"/>
      <c r="G2018" s="135" t="s">
        <v>389</v>
      </c>
      <c r="H2018" s="136"/>
      <c r="I2018" s="137">
        <f>I2017</f>
        <v>0</v>
      </c>
    </row>
    <row r="2019" spans="2:10" ht="15.95" customHeight="1" x14ac:dyDescent="0.25">
      <c r="C2019" s="158" t="s">
        <v>390</v>
      </c>
      <c r="D2019" s="159" t="s">
        <v>391</v>
      </c>
      <c r="E2019" s="160"/>
      <c r="F2019" s="160"/>
      <c r="G2019" s="161"/>
      <c r="H2019" s="162">
        <f>IF(AND(D2019&lt;&gt;"",F2019&lt;&gt;""),IF(C2019="",IF(F2019="OH",VLOOKUP(D2019,[1]UPAH!$B$3:$G$32,7,0),VLOOKUP(D2019,[1]BAHAN!$A$2:$D$3,4,0)),0),0)</f>
        <v>0</v>
      </c>
      <c r="I2019" s="126">
        <f>SUM(I2009:I2018)/2</f>
        <v>4312750</v>
      </c>
    </row>
    <row r="2020" spans="2:10" ht="15.95" customHeight="1" thickBot="1" x14ac:dyDescent="0.3">
      <c r="C2020" s="147" t="s">
        <v>392</v>
      </c>
      <c r="D2020" s="148" t="s">
        <v>393</v>
      </c>
      <c r="E2020" s="149"/>
      <c r="F2020" s="149"/>
      <c r="G2020" s="164">
        <v>0.1</v>
      </c>
      <c r="H2020" s="151"/>
      <c r="I2020" s="146">
        <f>G2020*I2019</f>
        <v>431275</v>
      </c>
    </row>
    <row r="2021" spans="2:10" ht="15.95" customHeight="1" thickBot="1" x14ac:dyDescent="0.3">
      <c r="C2021" s="111" t="s">
        <v>394</v>
      </c>
      <c r="D2021" s="112" t="s">
        <v>395</v>
      </c>
      <c r="E2021" s="134"/>
      <c r="F2021" s="134"/>
      <c r="G2021" s="156"/>
      <c r="H2021" s="136">
        <f>IF(AND(D2021&lt;&gt;"",F2021&lt;&gt;""),IF(C2021="",IF(F2021="OH",VLOOKUP(D2021,[1]UPAH!$B$3:$G$32,7,0),VLOOKUP(D2021,[1]BAHAN!$A$2:$D$3,4,0)),0),0)</f>
        <v>0</v>
      </c>
      <c r="I2021" s="137">
        <f>ROUNDDOWN(I2019+I2020,0)</f>
        <v>4744025</v>
      </c>
    </row>
    <row r="2022" spans="2:10" ht="15.95" customHeight="1" x14ac:dyDescent="0.25">
      <c r="C2022" s="109"/>
      <c r="D2022" s="109"/>
      <c r="G2022" s="157"/>
      <c r="H2022" s="166"/>
      <c r="I2022" s="110"/>
    </row>
    <row r="2023" spans="2:10" ht="15.95" customHeight="1" thickBot="1" x14ac:dyDescent="0.3">
      <c r="B2023" s="109" t="s">
        <v>707</v>
      </c>
      <c r="C2023" s="104" t="s">
        <v>708</v>
      </c>
      <c r="G2023" s="157"/>
      <c r="J2023" s="110">
        <f>I2035</f>
        <v>3940200</v>
      </c>
    </row>
    <row r="2024" spans="2:10" ht="15.95" customHeight="1" thickBot="1" x14ac:dyDescent="0.3">
      <c r="C2024" s="111" t="s">
        <v>328</v>
      </c>
      <c r="D2024" s="112" t="s">
        <v>359</v>
      </c>
      <c r="E2024" s="113" t="s">
        <v>360</v>
      </c>
      <c r="F2024" s="113" t="s">
        <v>330</v>
      </c>
      <c r="G2024" s="114" t="s">
        <v>361</v>
      </c>
      <c r="H2024" s="112" t="s">
        <v>362</v>
      </c>
      <c r="I2024" s="115" t="s">
        <v>363</v>
      </c>
    </row>
    <row r="2025" spans="2:10" ht="15.95" customHeight="1" thickBot="1" x14ac:dyDescent="0.3">
      <c r="C2025" s="116" t="s">
        <v>364</v>
      </c>
      <c r="D2025" s="117" t="s">
        <v>365</v>
      </c>
      <c r="E2025" s="118"/>
      <c r="F2025" s="118"/>
      <c r="G2025" s="165"/>
      <c r="H2025" s="144"/>
      <c r="I2025" s="126"/>
    </row>
    <row r="2026" spans="2:10" ht="15.95" customHeight="1" thickBot="1" x14ac:dyDescent="0.3">
      <c r="C2026" s="132"/>
      <c r="D2026" s="133"/>
      <c r="E2026" s="134"/>
      <c r="F2026" s="134"/>
      <c r="G2026" s="135" t="s">
        <v>375</v>
      </c>
      <c r="H2026" s="136"/>
      <c r="I2026" s="137">
        <f>SUM(I2022:I2025)</f>
        <v>0</v>
      </c>
    </row>
    <row r="2027" spans="2:10" ht="15.95" customHeight="1" x14ac:dyDescent="0.25">
      <c r="C2027" s="116" t="s">
        <v>376</v>
      </c>
      <c r="D2027" s="117" t="s">
        <v>377</v>
      </c>
      <c r="E2027" s="118"/>
      <c r="F2027" s="118"/>
      <c r="G2027" s="165"/>
      <c r="H2027" s="144">
        <f>IF(AND(D2027&lt;&gt;"",F2027&lt;&gt;""),IF(C2027="",IF(F2027="OH",VLOOKUP(D2027,[1]UPAH!$B$3:$G$32,7,0),VLOOKUP(D2027,[1]BAHAN!$A$2:$D$3,4,0)),0),0)</f>
        <v>0</v>
      </c>
      <c r="I2027" s="126">
        <f>G2027*H2027</f>
        <v>0</v>
      </c>
    </row>
    <row r="2028" spans="2:10" ht="15.95" customHeight="1" x14ac:dyDescent="0.25">
      <c r="C2028" s="122"/>
      <c r="D2028" s="117" t="s">
        <v>705</v>
      </c>
      <c r="E2028" s="118"/>
      <c r="F2028" s="123" t="s">
        <v>159</v>
      </c>
      <c r="G2028" s="124">
        <v>1850</v>
      </c>
      <c r="H2028" s="144">
        <f>VLOOKUP(D2028,Bahan,6,FALSE)</f>
        <v>1920</v>
      </c>
      <c r="I2028" s="126">
        <f>G2028*H2028</f>
        <v>3552000</v>
      </c>
    </row>
    <row r="2029" spans="2:10" ht="15.95" customHeight="1" thickBot="1" x14ac:dyDescent="0.3">
      <c r="C2029" s="122"/>
      <c r="D2029" s="117" t="s">
        <v>532</v>
      </c>
      <c r="E2029" s="118"/>
      <c r="F2029" s="123" t="s">
        <v>636</v>
      </c>
      <c r="G2029" s="124">
        <v>400</v>
      </c>
      <c r="H2029" s="144">
        <f>VLOOKUP(D2029,Bahan,6,FALSE)</f>
        <v>75</v>
      </c>
      <c r="I2029" s="126">
        <f>G2029*H2029</f>
        <v>30000</v>
      </c>
    </row>
    <row r="2030" spans="2:10" ht="15.95" customHeight="1" thickBot="1" x14ac:dyDescent="0.3">
      <c r="C2030" s="132"/>
      <c r="D2030" s="133"/>
      <c r="E2030" s="134"/>
      <c r="F2030" s="134"/>
      <c r="G2030" s="135" t="s">
        <v>386</v>
      </c>
      <c r="H2030" s="136"/>
      <c r="I2030" s="137">
        <f>SUM(I2026:I2029)</f>
        <v>3582000</v>
      </c>
    </row>
    <row r="2031" spans="2:10" ht="15.95" customHeight="1" thickBot="1" x14ac:dyDescent="0.3">
      <c r="C2031" s="116" t="s">
        <v>387</v>
      </c>
      <c r="D2031" s="117" t="s">
        <v>388</v>
      </c>
      <c r="E2031" s="118"/>
      <c r="F2031" s="118"/>
      <c r="G2031" s="165"/>
      <c r="H2031" s="144"/>
      <c r="I2031" s="126"/>
    </row>
    <row r="2032" spans="2:10" ht="15.95" customHeight="1" thickBot="1" x14ac:dyDescent="0.3">
      <c r="C2032" s="132"/>
      <c r="D2032" s="133"/>
      <c r="E2032" s="134"/>
      <c r="F2032" s="134"/>
      <c r="G2032" s="135" t="s">
        <v>389</v>
      </c>
      <c r="H2032" s="136"/>
      <c r="I2032" s="137">
        <f>I2031</f>
        <v>0</v>
      </c>
    </row>
    <row r="2033" spans="2:10" ht="15.95" customHeight="1" x14ac:dyDescent="0.25">
      <c r="C2033" s="158" t="s">
        <v>390</v>
      </c>
      <c r="D2033" s="159" t="s">
        <v>391</v>
      </c>
      <c r="E2033" s="160"/>
      <c r="F2033" s="160"/>
      <c r="G2033" s="161"/>
      <c r="H2033" s="162">
        <f>IF(AND(D2033&lt;&gt;"",F2033&lt;&gt;""),IF(C2033="",IF(F2033="OH",VLOOKUP(D2033,[1]UPAH!$B$3:$G$32,7,0),VLOOKUP(D2033,[1]BAHAN!$A$2:$D$3,4,0)),0),0)</f>
        <v>0</v>
      </c>
      <c r="I2033" s="126">
        <f>SUM(I2024:I2032)/2</f>
        <v>3582000</v>
      </c>
    </row>
    <row r="2034" spans="2:10" ht="15.95" customHeight="1" thickBot="1" x14ac:dyDescent="0.3">
      <c r="C2034" s="147" t="s">
        <v>392</v>
      </c>
      <c r="D2034" s="148" t="s">
        <v>393</v>
      </c>
      <c r="E2034" s="149"/>
      <c r="F2034" s="149"/>
      <c r="G2034" s="164">
        <v>0.1</v>
      </c>
      <c r="H2034" s="151"/>
      <c r="I2034" s="146">
        <f>G2034*I2033</f>
        <v>358200</v>
      </c>
    </row>
    <row r="2035" spans="2:10" ht="15.95" customHeight="1" thickBot="1" x14ac:dyDescent="0.3">
      <c r="C2035" s="111" t="s">
        <v>394</v>
      </c>
      <c r="D2035" s="112" t="s">
        <v>395</v>
      </c>
      <c r="E2035" s="134"/>
      <c r="F2035" s="134"/>
      <c r="G2035" s="156"/>
      <c r="H2035" s="136">
        <f>IF(AND(D2035&lt;&gt;"",F2035&lt;&gt;""),IF(C2035="",IF(F2035="OH",VLOOKUP(D2035,[1]UPAH!$B$3:$G$32,7,0),VLOOKUP(D2035,[1]BAHAN!$A$2:$D$3,4,0)),0),0)</f>
        <v>0</v>
      </c>
      <c r="I2035" s="137">
        <f>ROUNDDOWN(I2033+I2034,0)</f>
        <v>3940200</v>
      </c>
    </row>
    <row r="2036" spans="2:10" ht="15.95" customHeight="1" x14ac:dyDescent="0.25">
      <c r="C2036" s="109"/>
      <c r="D2036" s="109"/>
      <c r="G2036" s="157"/>
      <c r="H2036" s="166"/>
      <c r="I2036" s="110"/>
    </row>
    <row r="2037" spans="2:10" ht="15.95" customHeight="1" thickBot="1" x14ac:dyDescent="0.3">
      <c r="B2037" s="109" t="s">
        <v>709</v>
      </c>
      <c r="C2037" s="104" t="s">
        <v>710</v>
      </c>
      <c r="G2037" s="157"/>
      <c r="J2037" s="110">
        <f>I2050</f>
        <v>80905</v>
      </c>
    </row>
    <row r="2038" spans="2:10" ht="15.95" customHeight="1" thickBot="1" x14ac:dyDescent="0.3">
      <c r="C2038" s="111" t="s">
        <v>328</v>
      </c>
      <c r="D2038" s="112" t="s">
        <v>359</v>
      </c>
      <c r="E2038" s="113" t="s">
        <v>360</v>
      </c>
      <c r="F2038" s="113" t="s">
        <v>330</v>
      </c>
      <c r="G2038" s="114" t="s">
        <v>361</v>
      </c>
      <c r="H2038" s="112" t="s">
        <v>362</v>
      </c>
      <c r="I2038" s="115" t="s">
        <v>363</v>
      </c>
    </row>
    <row r="2039" spans="2:10" ht="15.95" customHeight="1" x14ac:dyDescent="0.25">
      <c r="C2039" s="116" t="s">
        <v>364</v>
      </c>
      <c r="D2039" s="117" t="s">
        <v>365</v>
      </c>
      <c r="E2039" s="118"/>
      <c r="F2039" s="118"/>
      <c r="G2039" s="165"/>
      <c r="H2039" s="144"/>
      <c r="I2039" s="126"/>
    </row>
    <row r="2040" spans="2:10" ht="15.95" customHeight="1" x14ac:dyDescent="0.25">
      <c r="C2040" s="122"/>
      <c r="D2040" s="117" t="s">
        <v>413</v>
      </c>
      <c r="E2040" s="123" t="s">
        <v>414</v>
      </c>
      <c r="F2040" s="123" t="s">
        <v>368</v>
      </c>
      <c r="G2040" s="124">
        <v>0.36699999999999999</v>
      </c>
      <c r="H2040" s="125">
        <f>VLOOKUP(D2040,Upah,8,FALSE)</f>
        <v>150000</v>
      </c>
      <c r="I2040" s="126">
        <f>G2040*H2040</f>
        <v>55050</v>
      </c>
    </row>
    <row r="2041" spans="2:10" ht="15.95" customHeight="1" x14ac:dyDescent="0.25">
      <c r="C2041" s="122"/>
      <c r="D2041" s="117" t="s">
        <v>429</v>
      </c>
      <c r="E2041" s="123" t="s">
        <v>372</v>
      </c>
      <c r="F2041" s="123" t="s">
        <v>368</v>
      </c>
      <c r="G2041" s="124">
        <v>7.3999999999999996E-2</v>
      </c>
      <c r="H2041" s="125">
        <f>VLOOKUP(D2041,Upah,8,FALSE)</f>
        <v>165000</v>
      </c>
      <c r="I2041" s="126">
        <f>G2041*H2041</f>
        <v>12210</v>
      </c>
    </row>
    <row r="2042" spans="2:10" ht="15.95" customHeight="1" thickBot="1" x14ac:dyDescent="0.3">
      <c r="C2042" s="122"/>
      <c r="D2042" s="117" t="s">
        <v>373</v>
      </c>
      <c r="E2042" s="123" t="s">
        <v>374</v>
      </c>
      <c r="F2042" s="123" t="s">
        <v>368</v>
      </c>
      <c r="G2042" s="124">
        <v>3.6999999999999998E-2</v>
      </c>
      <c r="H2042" s="125">
        <f>VLOOKUP(D2042,Upah,8,FALSE)</f>
        <v>170000</v>
      </c>
      <c r="I2042" s="126">
        <f>G2042*H2042</f>
        <v>6290</v>
      </c>
    </row>
    <row r="2043" spans="2:10" ht="15.95" customHeight="1" thickBot="1" x14ac:dyDescent="0.3">
      <c r="C2043" s="132"/>
      <c r="D2043" s="133"/>
      <c r="E2043" s="134"/>
      <c r="F2043" s="134"/>
      <c r="G2043" s="135" t="s">
        <v>375</v>
      </c>
      <c r="H2043" s="136"/>
      <c r="I2043" s="137">
        <f>SUM(I2040:I2042)</f>
        <v>73550</v>
      </c>
    </row>
    <row r="2044" spans="2:10" ht="15.95" customHeight="1" thickBot="1" x14ac:dyDescent="0.3">
      <c r="C2044" s="116" t="s">
        <v>376</v>
      </c>
      <c r="D2044" s="117" t="s">
        <v>377</v>
      </c>
      <c r="E2044" s="118"/>
      <c r="F2044" s="118"/>
      <c r="G2044" s="165"/>
      <c r="H2044" s="144">
        <f>IF(AND(D2044&lt;&gt;"",F2044&lt;&gt;""),IF(C2044="",IF(F2044="OH",VLOOKUP(D2044,[1]UPAH!$B$3:$G$32,7,0),VLOOKUP(D2044,[1]BAHAN!$A$2:$D$3,4,0)),0),0)</f>
        <v>0</v>
      </c>
      <c r="I2044" s="126">
        <f>G2044*H2044</f>
        <v>0</v>
      </c>
    </row>
    <row r="2045" spans="2:10" ht="15.95" customHeight="1" thickBot="1" x14ac:dyDescent="0.3">
      <c r="C2045" s="132"/>
      <c r="D2045" s="133"/>
      <c r="E2045" s="134"/>
      <c r="F2045" s="134"/>
      <c r="G2045" s="135" t="s">
        <v>386</v>
      </c>
      <c r="H2045" s="136"/>
      <c r="I2045" s="137">
        <f>SUM(I2044)</f>
        <v>0</v>
      </c>
    </row>
    <row r="2046" spans="2:10" ht="15.95" customHeight="1" thickBot="1" x14ac:dyDescent="0.3">
      <c r="C2046" s="116" t="s">
        <v>387</v>
      </c>
      <c r="D2046" s="117" t="s">
        <v>388</v>
      </c>
      <c r="E2046" s="118"/>
      <c r="F2046" s="118"/>
      <c r="G2046" s="165"/>
      <c r="H2046" s="144">
        <f>IF(AND(D2046&lt;&gt;"",F2046&lt;&gt;""),IF(C2046="",IF(F2046="OH",VLOOKUP(D2046,[1]UPAH!$B$3:$G$32,7,0),VLOOKUP(D2046,[1]BAHAN!$A$2:$D$3,4,0)),0),0)</f>
        <v>0</v>
      </c>
      <c r="I2046" s="126">
        <f>G2046*H2046</f>
        <v>0</v>
      </c>
    </row>
    <row r="2047" spans="2:10" ht="15.95" customHeight="1" thickBot="1" x14ac:dyDescent="0.3">
      <c r="C2047" s="132"/>
      <c r="D2047" s="133"/>
      <c r="E2047" s="134"/>
      <c r="F2047" s="134"/>
      <c r="G2047" s="135" t="s">
        <v>389</v>
      </c>
      <c r="H2047" s="136"/>
      <c r="I2047" s="137">
        <f>I2046</f>
        <v>0</v>
      </c>
    </row>
    <row r="2048" spans="2:10" ht="15.95" customHeight="1" x14ac:dyDescent="0.25">
      <c r="C2048" s="158" t="s">
        <v>390</v>
      </c>
      <c r="D2048" s="159" t="s">
        <v>391</v>
      </c>
      <c r="E2048" s="160"/>
      <c r="F2048" s="160"/>
      <c r="G2048" s="161"/>
      <c r="H2048" s="162">
        <f>IF(AND(D2048&lt;&gt;"",F2048&lt;&gt;""),IF(C2048="",IF(F2048="OH",VLOOKUP(D2048,[1]UPAH!$B$3:$G$32,7,0),VLOOKUP(D2048,[1]BAHAN!$A$2:$D$3,4,0)),0),0)</f>
        <v>0</v>
      </c>
      <c r="I2048" s="126">
        <f>SUM(I2038:I2047)/2</f>
        <v>73550</v>
      </c>
    </row>
    <row r="2049" spans="2:10" ht="15.95" customHeight="1" thickBot="1" x14ac:dyDescent="0.3">
      <c r="C2049" s="147" t="s">
        <v>392</v>
      </c>
      <c r="D2049" s="148" t="s">
        <v>393</v>
      </c>
      <c r="E2049" s="149"/>
      <c r="F2049" s="149"/>
      <c r="G2049" s="164">
        <v>0.1</v>
      </c>
      <c r="H2049" s="151"/>
      <c r="I2049" s="146">
        <f>G2049*I2048</f>
        <v>7355</v>
      </c>
    </row>
    <row r="2050" spans="2:10" ht="15.95" customHeight="1" thickBot="1" x14ac:dyDescent="0.3">
      <c r="C2050" s="111" t="s">
        <v>394</v>
      </c>
      <c r="D2050" s="112" t="s">
        <v>395</v>
      </c>
      <c r="E2050" s="134"/>
      <c r="F2050" s="134"/>
      <c r="G2050" s="156"/>
      <c r="H2050" s="136">
        <f>IF(AND(D2050&lt;&gt;"",F2050&lt;&gt;""),IF(C2050="",IF(F2050="OH",VLOOKUP(D2050,[1]UPAH!$B$3:$G$32,7,0),VLOOKUP(D2050,[1]BAHAN!$A$2:$D$3,4,0)),0),0)</f>
        <v>0</v>
      </c>
      <c r="I2050" s="137">
        <f>ROUNDDOWN(I2048+I2049,0)</f>
        <v>80905</v>
      </c>
    </row>
    <row r="2051" spans="2:10" ht="15.95" customHeight="1" x14ac:dyDescent="0.25">
      <c r="C2051" s="109"/>
      <c r="D2051" s="109"/>
      <c r="G2051" s="157"/>
      <c r="H2051" s="166"/>
      <c r="I2051" s="110"/>
    </row>
    <row r="2052" spans="2:10" ht="15.95" customHeight="1" thickBot="1" x14ac:dyDescent="0.3">
      <c r="B2052" s="109" t="s">
        <v>711</v>
      </c>
      <c r="C2052" s="104" t="s">
        <v>712</v>
      </c>
      <c r="G2052" s="157"/>
      <c r="J2052" s="110">
        <f>I2069</f>
        <v>127967</v>
      </c>
    </row>
    <row r="2053" spans="2:10" ht="15.95" customHeight="1" thickBot="1" x14ac:dyDescent="0.3">
      <c r="C2053" s="111" t="s">
        <v>328</v>
      </c>
      <c r="D2053" s="112" t="s">
        <v>359</v>
      </c>
      <c r="E2053" s="113" t="s">
        <v>360</v>
      </c>
      <c r="F2053" s="113" t="s">
        <v>330</v>
      </c>
      <c r="G2053" s="114" t="s">
        <v>361</v>
      </c>
      <c r="H2053" s="112" t="s">
        <v>362</v>
      </c>
      <c r="I2053" s="115" t="s">
        <v>363</v>
      </c>
    </row>
    <row r="2054" spans="2:10" ht="15.95" customHeight="1" x14ac:dyDescent="0.25">
      <c r="C2054" s="116" t="s">
        <v>364</v>
      </c>
      <c r="D2054" s="117" t="s">
        <v>365</v>
      </c>
      <c r="E2054" s="118"/>
      <c r="F2054" s="118"/>
      <c r="G2054" s="165"/>
      <c r="H2054" s="144"/>
      <c r="I2054" s="126"/>
    </row>
    <row r="2055" spans="2:10" ht="15.95" customHeight="1" x14ac:dyDescent="0.25">
      <c r="C2055" s="122"/>
      <c r="D2055" s="117" t="s">
        <v>366</v>
      </c>
      <c r="E2055" s="123" t="s">
        <v>367</v>
      </c>
      <c r="F2055" s="118" t="s">
        <v>368</v>
      </c>
      <c r="G2055" s="124">
        <v>0.14699999999999999</v>
      </c>
      <c r="H2055" s="125">
        <f>VLOOKUP(D2055,Upah,8,FALSE)</f>
        <v>125000</v>
      </c>
      <c r="I2055" s="126">
        <f>G2055*H2055</f>
        <v>18375</v>
      </c>
    </row>
    <row r="2056" spans="2:10" ht="15.95" customHeight="1" x14ac:dyDescent="0.25">
      <c r="C2056" s="122"/>
      <c r="D2056" s="117" t="s">
        <v>611</v>
      </c>
      <c r="E2056" s="123" t="s">
        <v>370</v>
      </c>
      <c r="F2056" s="123" t="s">
        <v>368</v>
      </c>
      <c r="G2056" s="124">
        <v>0.14699999999999999</v>
      </c>
      <c r="H2056" s="125">
        <f>VLOOKUP(D2056,Upah,8,FALSE)</f>
        <v>150000</v>
      </c>
      <c r="I2056" s="126">
        <f>G2056*H2056</f>
        <v>22050</v>
      </c>
    </row>
    <row r="2057" spans="2:10" ht="15.95" customHeight="1" x14ac:dyDescent="0.25">
      <c r="C2057" s="122"/>
      <c r="D2057" s="117" t="s">
        <v>429</v>
      </c>
      <c r="E2057" s="123" t="s">
        <v>372</v>
      </c>
      <c r="F2057" s="123" t="s">
        <v>368</v>
      </c>
      <c r="G2057" s="124">
        <v>1.4999999999999999E-2</v>
      </c>
      <c r="H2057" s="125">
        <f>VLOOKUP(D2057,Upah,8,FALSE)</f>
        <v>165000</v>
      </c>
      <c r="I2057" s="126">
        <f>G2057*H2057</f>
        <v>2475</v>
      </c>
    </row>
    <row r="2058" spans="2:10" ht="15.95" customHeight="1" thickBot="1" x14ac:dyDescent="0.3">
      <c r="C2058" s="122"/>
      <c r="D2058" s="117" t="s">
        <v>373</v>
      </c>
      <c r="E2058" s="123" t="s">
        <v>374</v>
      </c>
      <c r="F2058" s="123" t="s">
        <v>368</v>
      </c>
      <c r="G2058" s="124">
        <v>5.0000000000000001E-3</v>
      </c>
      <c r="H2058" s="125">
        <f>VLOOKUP(D2058,Upah,8,FALSE)</f>
        <v>170000</v>
      </c>
      <c r="I2058" s="126">
        <f>G2058*H2058</f>
        <v>850</v>
      </c>
    </row>
    <row r="2059" spans="2:10" ht="15.95" customHeight="1" thickBot="1" x14ac:dyDescent="0.3">
      <c r="C2059" s="132"/>
      <c r="D2059" s="133"/>
      <c r="E2059" s="134"/>
      <c r="F2059" s="134"/>
      <c r="G2059" s="135" t="s">
        <v>375</v>
      </c>
      <c r="H2059" s="136"/>
      <c r="I2059" s="137">
        <f>SUM(I2055:I2058)</f>
        <v>43750</v>
      </c>
    </row>
    <row r="2060" spans="2:10" ht="15.95" customHeight="1" x14ac:dyDescent="0.25">
      <c r="C2060" s="116" t="s">
        <v>376</v>
      </c>
      <c r="D2060" s="117" t="s">
        <v>377</v>
      </c>
      <c r="E2060" s="118"/>
      <c r="F2060" s="118"/>
      <c r="G2060" s="165"/>
      <c r="H2060" s="144"/>
      <c r="I2060" s="126"/>
    </row>
    <row r="2061" spans="2:10" ht="15.95" customHeight="1" x14ac:dyDescent="0.25">
      <c r="C2061" s="122"/>
      <c r="D2061" s="117" t="s">
        <v>647</v>
      </c>
      <c r="E2061" s="118"/>
      <c r="F2061" s="123" t="s">
        <v>158</v>
      </c>
      <c r="G2061" s="124">
        <v>1.2E-2</v>
      </c>
      <c r="H2061" s="144">
        <f>VLOOKUP(D2061,Bahan,6,FALSE)</f>
        <v>4375000</v>
      </c>
      <c r="I2061" s="126">
        <f>G2061*H2061</f>
        <v>52500</v>
      </c>
    </row>
    <row r="2062" spans="2:10" ht="15.95" customHeight="1" x14ac:dyDescent="0.25">
      <c r="C2062" s="122"/>
      <c r="D2062" s="117" t="s">
        <v>436</v>
      </c>
      <c r="E2062" s="118"/>
      <c r="F2062" s="123" t="s">
        <v>158</v>
      </c>
      <c r="G2062" s="124">
        <v>4.0000000000000001E-3</v>
      </c>
      <c r="H2062" s="144">
        <f>VLOOKUP(D2062,Bahan,6,FALSE)</f>
        <v>3175000</v>
      </c>
      <c r="I2062" s="126">
        <f>G2062*H2062</f>
        <v>12700</v>
      </c>
    </row>
    <row r="2063" spans="2:10" ht="15.95" customHeight="1" thickBot="1" x14ac:dyDescent="0.3">
      <c r="C2063" s="122"/>
      <c r="D2063" s="117" t="s">
        <v>613</v>
      </c>
      <c r="E2063" s="118"/>
      <c r="F2063" s="123" t="s">
        <v>159</v>
      </c>
      <c r="G2063" s="124">
        <v>0.26400000000000001</v>
      </c>
      <c r="H2063" s="144">
        <f>VLOOKUP(D2063,Bahan,6,FALSE)</f>
        <v>27970</v>
      </c>
      <c r="I2063" s="126">
        <f>G2063*H2063</f>
        <v>7384.08</v>
      </c>
    </row>
    <row r="2064" spans="2:10" ht="15.95" customHeight="1" thickBot="1" x14ac:dyDescent="0.3">
      <c r="C2064" s="132"/>
      <c r="D2064" s="133"/>
      <c r="E2064" s="134"/>
      <c r="F2064" s="134"/>
      <c r="G2064" s="135" t="s">
        <v>386</v>
      </c>
      <c r="H2064" s="136"/>
      <c r="I2064" s="137">
        <f>SUM(I2060:I2063)</f>
        <v>72584.08</v>
      </c>
    </row>
    <row r="2065" spans="2:10" ht="15.95" customHeight="1" thickBot="1" x14ac:dyDescent="0.3">
      <c r="C2065" s="116" t="s">
        <v>387</v>
      </c>
      <c r="D2065" s="117" t="s">
        <v>388</v>
      </c>
      <c r="E2065" s="118"/>
      <c r="F2065" s="118"/>
      <c r="G2065" s="165"/>
      <c r="H2065" s="144">
        <f>IF(AND(D2065&lt;&gt;"",F2065&lt;&gt;""),IF(C2065="",IF(F2065="OH",VLOOKUP(D2065,[1]UPAH!$B$3:$G$32,7,0),VLOOKUP(D2065,[1]BAHAN!$A$2:$D$3,4,0)),0),0)</f>
        <v>0</v>
      </c>
      <c r="I2065" s="126">
        <f>G2065*H2065</f>
        <v>0</v>
      </c>
    </row>
    <row r="2066" spans="2:10" ht="15.95" customHeight="1" thickBot="1" x14ac:dyDescent="0.3">
      <c r="C2066" s="132"/>
      <c r="D2066" s="133"/>
      <c r="E2066" s="134"/>
      <c r="F2066" s="134"/>
      <c r="G2066" s="135" t="s">
        <v>389</v>
      </c>
      <c r="H2066" s="136"/>
      <c r="I2066" s="137">
        <f>I2065</f>
        <v>0</v>
      </c>
    </row>
    <row r="2067" spans="2:10" ht="15.95" customHeight="1" x14ac:dyDescent="0.25">
      <c r="C2067" s="158" t="s">
        <v>390</v>
      </c>
      <c r="D2067" s="159" t="s">
        <v>391</v>
      </c>
      <c r="E2067" s="160"/>
      <c r="F2067" s="160"/>
      <c r="G2067" s="161"/>
      <c r="H2067" s="162">
        <f>IF(AND(D2067&lt;&gt;"",F2067&lt;&gt;""),IF(C2067="",IF(F2067="OH",VLOOKUP(D2067,[1]UPAH!$B$3:$G$32,7,0),VLOOKUP(D2067,[1]BAHAN!$A$2:$D$3,4,0)),0),0)</f>
        <v>0</v>
      </c>
      <c r="I2067" s="126">
        <f>SUM(I2054:I2066)/2</f>
        <v>116334.07999999999</v>
      </c>
    </row>
    <row r="2068" spans="2:10" ht="15.95" customHeight="1" thickBot="1" x14ac:dyDescent="0.3">
      <c r="C2068" s="147" t="s">
        <v>392</v>
      </c>
      <c r="D2068" s="148" t="s">
        <v>393</v>
      </c>
      <c r="E2068" s="149"/>
      <c r="F2068" s="149"/>
      <c r="G2068" s="164">
        <v>0.1</v>
      </c>
      <c r="H2068" s="151"/>
      <c r="I2068" s="146">
        <f>G2068*I2067</f>
        <v>11633.407999999999</v>
      </c>
    </row>
    <row r="2069" spans="2:10" ht="15.95" customHeight="1" thickBot="1" x14ac:dyDescent="0.3">
      <c r="C2069" s="111" t="s">
        <v>394</v>
      </c>
      <c r="D2069" s="112" t="s">
        <v>395</v>
      </c>
      <c r="E2069" s="134"/>
      <c r="F2069" s="134"/>
      <c r="G2069" s="156"/>
      <c r="H2069" s="136">
        <f>IF(AND(D2069&lt;&gt;"",F2069&lt;&gt;""),IF(C2069="",IF(F2069="OH",VLOOKUP(D2069,[1]UPAH!$B$3:$G$32,7,0),VLOOKUP(D2069,[1]BAHAN!$A$2:$D$3,4,0)),0),0)</f>
        <v>0</v>
      </c>
      <c r="I2069" s="137">
        <f>ROUNDDOWN(I2067+I2068,0)</f>
        <v>127967</v>
      </c>
    </row>
    <row r="2070" spans="2:10" ht="15.95" customHeight="1" x14ac:dyDescent="0.25">
      <c r="C2070" s="109"/>
      <c r="D2070" s="109"/>
      <c r="G2070" s="157"/>
      <c r="H2070" s="166"/>
      <c r="I2070" s="110"/>
    </row>
    <row r="2071" spans="2:10" ht="15.95" customHeight="1" thickBot="1" x14ac:dyDescent="0.3">
      <c r="B2071" s="109" t="s">
        <v>713</v>
      </c>
      <c r="C2071" s="109" t="s">
        <v>714</v>
      </c>
      <c r="G2071" s="157"/>
      <c r="J2071" s="110">
        <f>I2085</f>
        <v>104907</v>
      </c>
    </row>
    <row r="2072" spans="2:10" ht="15.95" customHeight="1" thickBot="1" x14ac:dyDescent="0.3">
      <c r="C2072" s="111" t="s">
        <v>328</v>
      </c>
      <c r="D2072" s="112" t="s">
        <v>359</v>
      </c>
      <c r="E2072" s="113" t="s">
        <v>360</v>
      </c>
      <c r="F2072" s="113" t="s">
        <v>330</v>
      </c>
      <c r="G2072" s="114" t="s">
        <v>361</v>
      </c>
      <c r="H2072" s="112" t="s">
        <v>362</v>
      </c>
      <c r="I2072" s="115" t="s">
        <v>363</v>
      </c>
    </row>
    <row r="2073" spans="2:10" ht="15.95" customHeight="1" x14ac:dyDescent="0.25">
      <c r="C2073" s="116" t="s">
        <v>364</v>
      </c>
      <c r="D2073" s="117" t="s">
        <v>365</v>
      </c>
      <c r="E2073" s="118"/>
      <c r="F2073" s="118"/>
      <c r="G2073" s="165"/>
      <c r="H2073" s="144"/>
      <c r="I2073" s="126"/>
    </row>
    <row r="2074" spans="2:10" ht="15.95" customHeight="1" x14ac:dyDescent="0.25">
      <c r="C2074" s="122"/>
      <c r="D2074" s="117" t="s">
        <v>366</v>
      </c>
      <c r="E2074" s="123" t="s">
        <v>367</v>
      </c>
      <c r="F2074" s="123" t="s">
        <v>368</v>
      </c>
      <c r="G2074" s="124">
        <v>0.22</v>
      </c>
      <c r="H2074" s="125">
        <f>VLOOKUP(D2074,Upah,8,FALSE)</f>
        <v>125000</v>
      </c>
      <c r="I2074" s="126">
        <f>G2074*H2074</f>
        <v>27500</v>
      </c>
    </row>
    <row r="2075" spans="2:10" ht="15.95" customHeight="1" x14ac:dyDescent="0.25">
      <c r="C2075" s="122"/>
      <c r="D2075" s="117" t="s">
        <v>611</v>
      </c>
      <c r="E2075" s="123" t="s">
        <v>370</v>
      </c>
      <c r="F2075" s="123" t="s">
        <v>368</v>
      </c>
      <c r="G2075" s="124">
        <v>0.22</v>
      </c>
      <c r="H2075" s="125">
        <f>VLOOKUP(D2075,Upah,8,FALSE)</f>
        <v>150000</v>
      </c>
      <c r="I2075" s="126">
        <f>G2075*H2075</f>
        <v>33000</v>
      </c>
    </row>
    <row r="2076" spans="2:10" ht="15.95" customHeight="1" x14ac:dyDescent="0.25">
      <c r="C2076" s="122"/>
      <c r="D2076" s="117" t="s">
        <v>612</v>
      </c>
      <c r="E2076" s="123" t="s">
        <v>578</v>
      </c>
      <c r="F2076" s="123" t="s">
        <v>368</v>
      </c>
      <c r="G2076" s="124">
        <v>0.22</v>
      </c>
      <c r="H2076" s="125">
        <f>VLOOKUP(D2076,Upah,8,FALSE)</f>
        <v>150000</v>
      </c>
      <c r="I2076" s="126">
        <f>G2076*H2076</f>
        <v>33000</v>
      </c>
    </row>
    <row r="2077" spans="2:10" ht="15.95" customHeight="1" thickBot="1" x14ac:dyDescent="0.3">
      <c r="C2077" s="122"/>
      <c r="D2077" s="117" t="s">
        <v>373</v>
      </c>
      <c r="E2077" s="123" t="s">
        <v>374</v>
      </c>
      <c r="F2077" s="123" t="s">
        <v>368</v>
      </c>
      <c r="G2077" s="124">
        <v>1.0999999999999999E-2</v>
      </c>
      <c r="H2077" s="125">
        <f>VLOOKUP(D2077,Upah,8,FALSE)</f>
        <v>170000</v>
      </c>
      <c r="I2077" s="126">
        <f>G2077*H2077</f>
        <v>1870</v>
      </c>
    </row>
    <row r="2078" spans="2:10" ht="15.95" customHeight="1" thickBot="1" x14ac:dyDescent="0.3">
      <c r="C2078" s="132"/>
      <c r="D2078" s="133"/>
      <c r="E2078" s="134"/>
      <c r="F2078" s="134"/>
      <c r="G2078" s="135" t="s">
        <v>375</v>
      </c>
      <c r="H2078" s="136"/>
      <c r="I2078" s="137">
        <f>SUM(I2074:I2077)</f>
        <v>95370</v>
      </c>
    </row>
    <row r="2079" spans="2:10" ht="15.95" customHeight="1" thickBot="1" x14ac:dyDescent="0.3">
      <c r="C2079" s="116" t="s">
        <v>376</v>
      </c>
      <c r="D2079" s="117" t="s">
        <v>377</v>
      </c>
      <c r="E2079" s="118"/>
      <c r="F2079" s="118"/>
      <c r="G2079" s="165"/>
      <c r="H2079" s="144"/>
      <c r="I2079" s="126"/>
    </row>
    <row r="2080" spans="2:10" ht="15.95" customHeight="1" thickBot="1" x14ac:dyDescent="0.3">
      <c r="C2080" s="132"/>
      <c r="D2080" s="133"/>
      <c r="E2080" s="134"/>
      <c r="F2080" s="134"/>
      <c r="G2080" s="135" t="s">
        <v>386</v>
      </c>
      <c r="H2080" s="136"/>
      <c r="I2080" s="137">
        <f>SUM(I2079)</f>
        <v>0</v>
      </c>
    </row>
    <row r="2081" spans="1:10" ht="15.95" customHeight="1" thickBot="1" x14ac:dyDescent="0.3">
      <c r="C2081" s="116" t="s">
        <v>387</v>
      </c>
      <c r="D2081" s="117" t="s">
        <v>388</v>
      </c>
      <c r="E2081" s="118"/>
      <c r="F2081" s="118"/>
      <c r="G2081" s="165"/>
      <c r="H2081" s="144">
        <f>IF(AND(D2081&lt;&gt;"",F2081&lt;&gt;""),IF(C2081="",IF(F2081="OH",VLOOKUP(D2081,[1]UPAH!$B$3:$G$32,7,0),VLOOKUP(D2081,[1]BAHAN!$A$2:$D$3,4,0)),0),0)</f>
        <v>0</v>
      </c>
      <c r="I2081" s="126">
        <f>G2081*H2081</f>
        <v>0</v>
      </c>
    </row>
    <row r="2082" spans="1:10" ht="15.95" customHeight="1" thickBot="1" x14ac:dyDescent="0.3">
      <c r="C2082" s="132"/>
      <c r="D2082" s="133"/>
      <c r="E2082" s="134"/>
      <c r="F2082" s="134"/>
      <c r="G2082" s="135" t="s">
        <v>389</v>
      </c>
      <c r="H2082" s="136"/>
      <c r="I2082" s="137">
        <f>I2081</f>
        <v>0</v>
      </c>
    </row>
    <row r="2083" spans="1:10" ht="15.95" customHeight="1" x14ac:dyDescent="0.25">
      <c r="C2083" s="158" t="s">
        <v>390</v>
      </c>
      <c r="D2083" s="159" t="s">
        <v>391</v>
      </c>
      <c r="E2083" s="160"/>
      <c r="F2083" s="160"/>
      <c r="G2083" s="161"/>
      <c r="H2083" s="162">
        <f>IF(AND(D2083&lt;&gt;"",F2083&lt;&gt;""),IF(C2083="",IF(F2083="OH",VLOOKUP(D2083,[1]UPAH!$B$3:$G$32,7,0),VLOOKUP(D2083,[1]BAHAN!$A$2:$D$3,4,0)),0),0)</f>
        <v>0</v>
      </c>
      <c r="I2083" s="126">
        <f>SUM(I2073:I2082)/2</f>
        <v>95370</v>
      </c>
    </row>
    <row r="2084" spans="1:10" ht="15.95" customHeight="1" thickBot="1" x14ac:dyDescent="0.3">
      <c r="C2084" s="147" t="s">
        <v>392</v>
      </c>
      <c r="D2084" s="148" t="s">
        <v>393</v>
      </c>
      <c r="E2084" s="149"/>
      <c r="F2084" s="149"/>
      <c r="G2084" s="164">
        <v>0.1</v>
      </c>
      <c r="H2084" s="151"/>
      <c r="I2084" s="146">
        <f>G2084*I2083</f>
        <v>9537</v>
      </c>
    </row>
    <row r="2085" spans="1:10" ht="15.95" customHeight="1" thickBot="1" x14ac:dyDescent="0.3">
      <c r="C2085" s="111" t="s">
        <v>394</v>
      </c>
      <c r="D2085" s="112" t="s">
        <v>395</v>
      </c>
      <c r="E2085" s="134"/>
      <c r="F2085" s="134"/>
      <c r="G2085" s="156"/>
      <c r="H2085" s="136">
        <f>IF(AND(D2085&lt;&gt;"",F2085&lt;&gt;""),IF(C2085="",IF(F2085="OH",VLOOKUP(D2085,[1]UPAH!$B$3:$G$32,7,0),VLOOKUP(D2085,[1]BAHAN!$A$2:$D$3,4,0)),0),0)</f>
        <v>0</v>
      </c>
      <c r="I2085" s="137">
        <f>ROUNDDOWN(I2083+I2084,0)</f>
        <v>104907</v>
      </c>
    </row>
    <row r="2086" spans="1:10" ht="15.95" customHeight="1" x14ac:dyDescent="0.25">
      <c r="C2086" s="109"/>
      <c r="D2086" s="109"/>
      <c r="G2086" s="157"/>
      <c r="H2086" s="166"/>
      <c r="I2086" s="110"/>
    </row>
    <row r="2087" spans="1:10" ht="15.95" customHeight="1" x14ac:dyDescent="0.25">
      <c r="A2087" s="167" t="s">
        <v>715</v>
      </c>
      <c r="B2087" s="168" t="s">
        <v>716</v>
      </c>
      <c r="G2087" s="157"/>
    </row>
    <row r="2088" spans="1:10" ht="15.95" customHeight="1" thickBot="1" x14ac:dyDescent="0.3">
      <c r="A2088" s="209"/>
      <c r="B2088" s="109" t="s">
        <v>717</v>
      </c>
      <c r="C2088" s="104" t="s">
        <v>718</v>
      </c>
      <c r="G2088" s="157"/>
      <c r="J2088" s="110">
        <f>I2103</f>
        <v>44277</v>
      </c>
    </row>
    <row r="2089" spans="1:10" ht="15.95" customHeight="1" thickBot="1" x14ac:dyDescent="0.3">
      <c r="C2089" s="111" t="s">
        <v>328</v>
      </c>
      <c r="D2089" s="112" t="s">
        <v>359</v>
      </c>
      <c r="E2089" s="113" t="s">
        <v>360</v>
      </c>
      <c r="F2089" s="113" t="s">
        <v>330</v>
      </c>
      <c r="G2089" s="114" t="s">
        <v>361</v>
      </c>
      <c r="H2089" s="112" t="s">
        <v>362</v>
      </c>
      <c r="I2089" s="115" t="s">
        <v>363</v>
      </c>
    </row>
    <row r="2090" spans="1:10" ht="15.95" customHeight="1" x14ac:dyDescent="0.25">
      <c r="C2090" s="116" t="s">
        <v>364</v>
      </c>
      <c r="D2090" s="117" t="s">
        <v>365</v>
      </c>
      <c r="E2090" s="118"/>
      <c r="F2090" s="118"/>
      <c r="G2090" s="165"/>
      <c r="H2090" s="144"/>
      <c r="I2090" s="126"/>
    </row>
    <row r="2091" spans="1:10" ht="15.95" customHeight="1" x14ac:dyDescent="0.25">
      <c r="C2091" s="122"/>
      <c r="D2091" s="117" t="s">
        <v>366</v>
      </c>
      <c r="E2091" s="123" t="s">
        <v>367</v>
      </c>
      <c r="F2091" s="123" t="s">
        <v>368</v>
      </c>
      <c r="G2091" s="124">
        <v>0.06</v>
      </c>
      <c r="H2091" s="125">
        <f>VLOOKUP(D2091,Upah,8,FALSE)</f>
        <v>125000</v>
      </c>
      <c r="I2091" s="126">
        <f>G2091*H2091</f>
        <v>7500</v>
      </c>
    </row>
    <row r="2092" spans="1:10" ht="15.95" customHeight="1" x14ac:dyDescent="0.25">
      <c r="C2092" s="122"/>
      <c r="D2092" s="117" t="s">
        <v>719</v>
      </c>
      <c r="E2092" s="123" t="s">
        <v>720</v>
      </c>
      <c r="F2092" s="123" t="s">
        <v>368</v>
      </c>
      <c r="G2092" s="124">
        <v>0.06</v>
      </c>
      <c r="H2092" s="125">
        <f>VLOOKUP(D2092,Upah,8,FALSE)</f>
        <v>150000</v>
      </c>
      <c r="I2092" s="126">
        <f>G2092*H2092</f>
        <v>9000</v>
      </c>
    </row>
    <row r="2093" spans="1:10" ht="15.95" customHeight="1" x14ac:dyDescent="0.25">
      <c r="C2093" s="122"/>
      <c r="D2093" s="117" t="s">
        <v>429</v>
      </c>
      <c r="E2093" s="123" t="s">
        <v>372</v>
      </c>
      <c r="F2093" s="123" t="s">
        <v>368</v>
      </c>
      <c r="G2093" s="124">
        <v>6.0000000000000001E-3</v>
      </c>
      <c r="H2093" s="125">
        <f>VLOOKUP(D2093,Upah,8,FALSE)</f>
        <v>165000</v>
      </c>
      <c r="I2093" s="126">
        <f>G2093*H2093</f>
        <v>990</v>
      </c>
    </row>
    <row r="2094" spans="1:10" ht="15.95" customHeight="1" thickBot="1" x14ac:dyDescent="0.3">
      <c r="C2094" s="122"/>
      <c r="D2094" s="117" t="s">
        <v>373</v>
      </c>
      <c r="E2094" s="123" t="s">
        <v>374</v>
      </c>
      <c r="F2094" s="123" t="s">
        <v>368</v>
      </c>
      <c r="G2094" s="124">
        <v>3.0000000000000001E-3</v>
      </c>
      <c r="H2094" s="125">
        <f>VLOOKUP(D2094,Upah,8,FALSE)</f>
        <v>170000</v>
      </c>
      <c r="I2094" s="126">
        <f>G2094*H2094</f>
        <v>510</v>
      </c>
    </row>
    <row r="2095" spans="1:10" ht="15.95" customHeight="1" thickBot="1" x14ac:dyDescent="0.3">
      <c r="C2095" s="132"/>
      <c r="D2095" s="133"/>
      <c r="E2095" s="134"/>
      <c r="F2095" s="134"/>
      <c r="G2095" s="135" t="s">
        <v>375</v>
      </c>
      <c r="H2095" s="136"/>
      <c r="I2095" s="137">
        <f>SUM(I2091:I2094)</f>
        <v>18000</v>
      </c>
    </row>
    <row r="2096" spans="1:10" ht="15.95" customHeight="1" x14ac:dyDescent="0.25">
      <c r="C2096" s="116" t="s">
        <v>376</v>
      </c>
      <c r="D2096" s="117" t="s">
        <v>377</v>
      </c>
      <c r="E2096" s="118"/>
      <c r="F2096" s="118"/>
      <c r="G2096" s="165"/>
      <c r="H2096" s="144"/>
      <c r="I2096" s="126"/>
    </row>
    <row r="2097" spans="2:10" ht="15.95" customHeight="1" thickBot="1" x14ac:dyDescent="0.3">
      <c r="C2097" s="122"/>
      <c r="D2097" s="117" t="s">
        <v>721</v>
      </c>
      <c r="E2097" s="118"/>
      <c r="F2097" s="123" t="s">
        <v>159</v>
      </c>
      <c r="G2097" s="124">
        <v>1.1499999999999999</v>
      </c>
      <c r="H2097" s="144">
        <f>VLOOKUP(D2097,Bahan,6,FALSE)</f>
        <v>19350</v>
      </c>
      <c r="I2097" s="126">
        <f>G2097*H2097</f>
        <v>22252.5</v>
      </c>
    </row>
    <row r="2098" spans="2:10" ht="15.95" customHeight="1" thickBot="1" x14ac:dyDescent="0.3">
      <c r="C2098" s="132"/>
      <c r="D2098" s="133"/>
      <c r="E2098" s="134"/>
      <c r="F2098" s="134"/>
      <c r="G2098" s="135" t="s">
        <v>386</v>
      </c>
      <c r="H2098" s="136"/>
      <c r="I2098" s="137">
        <f>SUM(I2097)</f>
        <v>22252.5</v>
      </c>
    </row>
    <row r="2099" spans="2:10" ht="15.95" customHeight="1" thickBot="1" x14ac:dyDescent="0.3">
      <c r="C2099" s="116" t="s">
        <v>387</v>
      </c>
      <c r="D2099" s="117" t="s">
        <v>388</v>
      </c>
      <c r="E2099" s="118"/>
      <c r="F2099" s="118"/>
      <c r="G2099" s="165"/>
      <c r="H2099" s="144">
        <f>IF(AND(D2099&lt;&gt;"",F2099&lt;&gt;""),IF(C2099="",IF(F2099="OH",VLOOKUP(D2099,[1]UPAH!$B$3:$G$32,7,0),VLOOKUP(D2099,[1]BAHAN!$A$2:$D$3,4,0)),0),0)</f>
        <v>0</v>
      </c>
      <c r="I2099" s="126">
        <f>G2099*H2099</f>
        <v>0</v>
      </c>
    </row>
    <row r="2100" spans="2:10" ht="15.95" customHeight="1" thickBot="1" x14ac:dyDescent="0.3">
      <c r="C2100" s="132"/>
      <c r="D2100" s="133"/>
      <c r="E2100" s="134"/>
      <c r="F2100" s="134"/>
      <c r="G2100" s="135" t="s">
        <v>389</v>
      </c>
      <c r="H2100" s="136"/>
      <c r="I2100" s="137">
        <f>I2099</f>
        <v>0</v>
      </c>
    </row>
    <row r="2101" spans="2:10" ht="15.95" customHeight="1" x14ac:dyDescent="0.25">
      <c r="C2101" s="158" t="s">
        <v>390</v>
      </c>
      <c r="D2101" s="159" t="s">
        <v>391</v>
      </c>
      <c r="E2101" s="160"/>
      <c r="F2101" s="160"/>
      <c r="G2101" s="161"/>
      <c r="H2101" s="162">
        <f>IF(AND(D2101&lt;&gt;"",F2101&lt;&gt;""),IF(C2101="",IF(F2101="OH",VLOOKUP(D2101,[1]UPAH!$B$3:$G$32,7,0),VLOOKUP(D2101,[1]BAHAN!$A$2:$D$3,4,0)),0),0)</f>
        <v>0</v>
      </c>
      <c r="I2101" s="126">
        <f>SUM(I2090:I2100)/2</f>
        <v>40252.5</v>
      </c>
    </row>
    <row r="2102" spans="2:10" ht="15.95" customHeight="1" thickBot="1" x14ac:dyDescent="0.3">
      <c r="C2102" s="147" t="s">
        <v>392</v>
      </c>
      <c r="D2102" s="148" t="s">
        <v>393</v>
      </c>
      <c r="E2102" s="149"/>
      <c r="F2102" s="149"/>
      <c r="G2102" s="164">
        <v>0.1</v>
      </c>
      <c r="H2102" s="151"/>
      <c r="I2102" s="146">
        <f>G2102*I2101</f>
        <v>4025.25</v>
      </c>
    </row>
    <row r="2103" spans="2:10" ht="15.95" customHeight="1" thickBot="1" x14ac:dyDescent="0.3">
      <c r="C2103" s="111" t="s">
        <v>394</v>
      </c>
      <c r="D2103" s="112" t="s">
        <v>395</v>
      </c>
      <c r="E2103" s="134"/>
      <c r="F2103" s="134"/>
      <c r="G2103" s="156"/>
      <c r="H2103" s="136">
        <f>IF(AND(D2103&lt;&gt;"",F2103&lt;&gt;""),IF(C2103="",IF(F2103="OH",VLOOKUP(D2103,[1]UPAH!$B$3:$G$32,7,0),VLOOKUP(D2103,[1]BAHAN!$A$2:$D$3,4,0)),0),0)</f>
        <v>0</v>
      </c>
      <c r="I2103" s="137">
        <f>ROUNDDOWN(I2101+I2102,0)</f>
        <v>44277</v>
      </c>
    </row>
    <row r="2104" spans="2:10" ht="15.95" customHeight="1" x14ac:dyDescent="0.25">
      <c r="C2104" s="109"/>
      <c r="D2104" s="109"/>
      <c r="G2104" s="157"/>
      <c r="H2104" s="166"/>
      <c r="I2104" s="110"/>
    </row>
    <row r="2105" spans="2:10" ht="15.95" customHeight="1" thickBot="1" x14ac:dyDescent="0.3">
      <c r="B2105" s="109" t="s">
        <v>722</v>
      </c>
      <c r="C2105" s="104" t="s">
        <v>723</v>
      </c>
      <c r="G2105" s="157"/>
      <c r="J2105" s="110">
        <f>I2120</f>
        <v>32133</v>
      </c>
    </row>
    <row r="2106" spans="2:10" ht="15.95" customHeight="1" thickBot="1" x14ac:dyDescent="0.3">
      <c r="C2106" s="111" t="s">
        <v>328</v>
      </c>
      <c r="D2106" s="112" t="s">
        <v>359</v>
      </c>
      <c r="E2106" s="113" t="s">
        <v>360</v>
      </c>
      <c r="F2106" s="113" t="s">
        <v>330</v>
      </c>
      <c r="G2106" s="114" t="s">
        <v>361</v>
      </c>
      <c r="H2106" s="112" t="s">
        <v>362</v>
      </c>
      <c r="I2106" s="115" t="s">
        <v>363</v>
      </c>
    </row>
    <row r="2107" spans="2:10" ht="15.95" customHeight="1" x14ac:dyDescent="0.25">
      <c r="C2107" s="116" t="s">
        <v>364</v>
      </c>
      <c r="D2107" s="117" t="s">
        <v>365</v>
      </c>
      <c r="E2107" s="118"/>
      <c r="F2107" s="118"/>
      <c r="G2107" s="165"/>
      <c r="H2107" s="144"/>
      <c r="I2107" s="126"/>
    </row>
    <row r="2108" spans="2:10" ht="15.95" customHeight="1" x14ac:dyDescent="0.25">
      <c r="C2108" s="122"/>
      <c r="D2108" s="117" t="s">
        <v>366</v>
      </c>
      <c r="E2108" s="123" t="s">
        <v>367</v>
      </c>
      <c r="F2108" s="123" t="s">
        <v>368</v>
      </c>
      <c r="G2108" s="124">
        <v>0.06</v>
      </c>
      <c r="H2108" s="125">
        <f>VLOOKUP(D2108,Upah,8,FALSE)</f>
        <v>125000</v>
      </c>
      <c r="I2108" s="126">
        <f>G2108*H2108</f>
        <v>7500</v>
      </c>
    </row>
    <row r="2109" spans="2:10" ht="15.95" customHeight="1" x14ac:dyDescent="0.25">
      <c r="C2109" s="122"/>
      <c r="D2109" s="117" t="s">
        <v>719</v>
      </c>
      <c r="E2109" s="123" t="s">
        <v>720</v>
      </c>
      <c r="F2109" s="123" t="s">
        <v>368</v>
      </c>
      <c r="G2109" s="124">
        <v>0.06</v>
      </c>
      <c r="H2109" s="125">
        <f>VLOOKUP(D2109,Upah,8,FALSE)</f>
        <v>150000</v>
      </c>
      <c r="I2109" s="126">
        <f>G2109*H2109</f>
        <v>9000</v>
      </c>
    </row>
    <row r="2110" spans="2:10" ht="15.95" customHeight="1" x14ac:dyDescent="0.25">
      <c r="C2110" s="122"/>
      <c r="D2110" s="117" t="s">
        <v>429</v>
      </c>
      <c r="E2110" s="123" t="s">
        <v>372</v>
      </c>
      <c r="F2110" s="123" t="s">
        <v>368</v>
      </c>
      <c r="G2110" s="124">
        <v>6.0000000000000001E-3</v>
      </c>
      <c r="H2110" s="125">
        <f>VLOOKUP(D2110,Upah,8,FALSE)</f>
        <v>165000</v>
      </c>
      <c r="I2110" s="126">
        <f>G2110*H2110</f>
        <v>990</v>
      </c>
    </row>
    <row r="2111" spans="2:10" ht="15.95" customHeight="1" thickBot="1" x14ac:dyDescent="0.3">
      <c r="C2111" s="122"/>
      <c r="D2111" s="117" t="s">
        <v>373</v>
      </c>
      <c r="E2111" s="123" t="s">
        <v>374</v>
      </c>
      <c r="F2111" s="123" t="s">
        <v>368</v>
      </c>
      <c r="G2111" s="124">
        <v>3.0000000000000001E-3</v>
      </c>
      <c r="H2111" s="125">
        <f>VLOOKUP(D2111,Upah,8,FALSE)</f>
        <v>170000</v>
      </c>
      <c r="I2111" s="126">
        <f>G2111*H2111</f>
        <v>510</v>
      </c>
    </row>
    <row r="2112" spans="2:10" ht="15.95" customHeight="1" thickBot="1" x14ac:dyDescent="0.3">
      <c r="C2112" s="132"/>
      <c r="D2112" s="133"/>
      <c r="E2112" s="134"/>
      <c r="F2112" s="134"/>
      <c r="G2112" s="135" t="s">
        <v>375</v>
      </c>
      <c r="H2112" s="136"/>
      <c r="I2112" s="137">
        <f>SUM(I2108:I2111)</f>
        <v>18000</v>
      </c>
    </row>
    <row r="2113" spans="2:10" ht="15.95" customHeight="1" x14ac:dyDescent="0.25">
      <c r="C2113" s="116" t="s">
        <v>376</v>
      </c>
      <c r="D2113" s="117" t="s">
        <v>377</v>
      </c>
      <c r="E2113" s="118"/>
      <c r="F2113" s="118"/>
      <c r="G2113" s="165"/>
      <c r="H2113" s="144"/>
      <c r="I2113" s="126"/>
    </row>
    <row r="2114" spans="2:10" ht="15.95" customHeight="1" thickBot="1" x14ac:dyDescent="0.3">
      <c r="C2114" s="122"/>
      <c r="D2114" s="117" t="s">
        <v>724</v>
      </c>
      <c r="E2114" s="118"/>
      <c r="F2114" s="123" t="s">
        <v>159</v>
      </c>
      <c r="G2114" s="124">
        <v>1.1499999999999999</v>
      </c>
      <c r="H2114" s="144">
        <f>VLOOKUP(D2114,Bahan,6,FALSE)</f>
        <v>9750</v>
      </c>
      <c r="I2114" s="126">
        <f>G2114*H2114</f>
        <v>11212.5</v>
      </c>
    </row>
    <row r="2115" spans="2:10" ht="15.95" customHeight="1" thickBot="1" x14ac:dyDescent="0.3">
      <c r="C2115" s="132"/>
      <c r="D2115" s="133"/>
      <c r="E2115" s="134"/>
      <c r="F2115" s="134"/>
      <c r="G2115" s="135" t="s">
        <v>386</v>
      </c>
      <c r="H2115" s="136"/>
      <c r="I2115" s="137">
        <f>SUM(I2114)</f>
        <v>11212.5</v>
      </c>
    </row>
    <row r="2116" spans="2:10" ht="15.95" customHeight="1" thickBot="1" x14ac:dyDescent="0.3">
      <c r="C2116" s="116" t="s">
        <v>387</v>
      </c>
      <c r="D2116" s="117" t="s">
        <v>388</v>
      </c>
      <c r="E2116" s="118"/>
      <c r="F2116" s="118"/>
      <c r="G2116" s="165"/>
      <c r="H2116" s="144"/>
      <c r="I2116" s="126"/>
    </row>
    <row r="2117" spans="2:10" ht="15.95" customHeight="1" thickBot="1" x14ac:dyDescent="0.3">
      <c r="C2117" s="132"/>
      <c r="D2117" s="133"/>
      <c r="E2117" s="134"/>
      <c r="F2117" s="134"/>
      <c r="G2117" s="135" t="s">
        <v>389</v>
      </c>
      <c r="H2117" s="136"/>
      <c r="I2117" s="137">
        <f>I2116</f>
        <v>0</v>
      </c>
    </row>
    <row r="2118" spans="2:10" ht="15.95" customHeight="1" x14ac:dyDescent="0.25">
      <c r="C2118" s="158" t="s">
        <v>390</v>
      </c>
      <c r="D2118" s="159" t="s">
        <v>391</v>
      </c>
      <c r="E2118" s="160"/>
      <c r="F2118" s="160"/>
      <c r="G2118" s="161"/>
      <c r="H2118" s="162">
        <f>IF(AND(D2118&lt;&gt;"",F2118&lt;&gt;""),IF(C2118="",IF(F2118="OH",VLOOKUP(D2118,[1]UPAH!$B$3:$G$32,7,0),VLOOKUP(D2118,[1]BAHAN!$A$2:$D$3,4,0)),0),0)</f>
        <v>0</v>
      </c>
      <c r="I2118" s="126">
        <f>SUM(I2107:I2117)/2</f>
        <v>29212.5</v>
      </c>
    </row>
    <row r="2119" spans="2:10" ht="15.95" customHeight="1" thickBot="1" x14ac:dyDescent="0.3">
      <c r="C2119" s="147" t="s">
        <v>392</v>
      </c>
      <c r="D2119" s="148" t="s">
        <v>393</v>
      </c>
      <c r="E2119" s="149"/>
      <c r="F2119" s="149"/>
      <c r="G2119" s="164">
        <v>0.1</v>
      </c>
      <c r="H2119" s="151"/>
      <c r="I2119" s="146">
        <f>G2119*I2118</f>
        <v>2921.25</v>
      </c>
    </row>
    <row r="2120" spans="2:10" ht="15.95" customHeight="1" thickBot="1" x14ac:dyDescent="0.3">
      <c r="C2120" s="111" t="s">
        <v>394</v>
      </c>
      <c r="D2120" s="112" t="s">
        <v>395</v>
      </c>
      <c r="E2120" s="134"/>
      <c r="F2120" s="134"/>
      <c r="G2120" s="156"/>
      <c r="H2120" s="136">
        <f>IF(AND(D2120&lt;&gt;"",F2120&lt;&gt;""),IF(C2120="",IF(F2120="OH",VLOOKUP(D2120,[1]UPAH!$B$3:$G$32,7,0),VLOOKUP(D2120,[1]BAHAN!$A$2:$D$3,4,0)),0),0)</f>
        <v>0</v>
      </c>
      <c r="I2120" s="137">
        <f>ROUNDDOWN(I2118+I2119,0)</f>
        <v>32133</v>
      </c>
    </row>
    <row r="2121" spans="2:10" ht="15.95" customHeight="1" x14ac:dyDescent="0.25">
      <c r="C2121" s="109"/>
      <c r="D2121" s="109"/>
      <c r="G2121" s="157"/>
      <c r="H2121" s="166"/>
      <c r="I2121" s="110"/>
    </row>
    <row r="2122" spans="2:10" ht="15.95" customHeight="1" thickBot="1" x14ac:dyDescent="0.3">
      <c r="B2122" s="109" t="s">
        <v>725</v>
      </c>
      <c r="C2122" s="104" t="s">
        <v>726</v>
      </c>
      <c r="G2122" s="157"/>
      <c r="J2122" s="110">
        <f>I2139</f>
        <v>44324</v>
      </c>
    </row>
    <row r="2123" spans="2:10" ht="15.95" customHeight="1" thickBot="1" x14ac:dyDescent="0.3">
      <c r="C2123" s="111" t="s">
        <v>328</v>
      </c>
      <c r="D2123" s="112" t="s">
        <v>359</v>
      </c>
      <c r="E2123" s="113" t="s">
        <v>360</v>
      </c>
      <c r="F2123" s="113" t="s">
        <v>330</v>
      </c>
      <c r="G2123" s="114" t="s">
        <v>361</v>
      </c>
      <c r="H2123" s="112" t="s">
        <v>362</v>
      </c>
      <c r="I2123" s="115" t="s">
        <v>363</v>
      </c>
    </row>
    <row r="2124" spans="2:10" ht="15.95" customHeight="1" x14ac:dyDescent="0.25">
      <c r="C2124" s="116" t="s">
        <v>364</v>
      </c>
      <c r="D2124" s="117" t="s">
        <v>365</v>
      </c>
      <c r="E2124" s="118"/>
      <c r="F2124" s="118"/>
      <c r="G2124" s="165"/>
      <c r="H2124" s="144"/>
      <c r="I2124" s="126"/>
    </row>
    <row r="2125" spans="2:10" ht="15.95" customHeight="1" x14ac:dyDescent="0.25">
      <c r="C2125" s="122"/>
      <c r="D2125" s="117" t="s">
        <v>366</v>
      </c>
      <c r="E2125" s="123" t="s">
        <v>367</v>
      </c>
      <c r="F2125" s="123" t="s">
        <v>368</v>
      </c>
      <c r="G2125" s="124">
        <v>0.1</v>
      </c>
      <c r="H2125" s="125">
        <f>VLOOKUP(D2125,Upah,8,FALSE)</f>
        <v>125000</v>
      </c>
      <c r="I2125" s="126">
        <f>G2125*H2125</f>
        <v>12500</v>
      </c>
    </row>
    <row r="2126" spans="2:10" ht="15.95" customHeight="1" x14ac:dyDescent="0.25">
      <c r="C2126" s="122"/>
      <c r="D2126" s="117" t="s">
        <v>727</v>
      </c>
      <c r="E2126" s="123" t="s">
        <v>728</v>
      </c>
      <c r="F2126" s="123" t="s">
        <v>368</v>
      </c>
      <c r="G2126" s="124">
        <v>0.1</v>
      </c>
      <c r="H2126" s="125">
        <f>VLOOKUP(D2126,Upah,8,FALSE)</f>
        <v>150000</v>
      </c>
      <c r="I2126" s="126">
        <f>G2126*H2126</f>
        <v>15000</v>
      </c>
    </row>
    <row r="2127" spans="2:10" ht="15.95" customHeight="1" x14ac:dyDescent="0.25">
      <c r="C2127" s="122"/>
      <c r="D2127" s="117" t="s">
        <v>429</v>
      </c>
      <c r="E2127" s="123" t="s">
        <v>372</v>
      </c>
      <c r="F2127" s="123" t="s">
        <v>368</v>
      </c>
      <c r="G2127" s="124">
        <v>1E-3</v>
      </c>
      <c r="H2127" s="125">
        <f>VLOOKUP(D2127,Upah,8,FALSE)</f>
        <v>165000</v>
      </c>
      <c r="I2127" s="126">
        <f>G2127*H2127</f>
        <v>165</v>
      </c>
    </row>
    <row r="2128" spans="2:10" ht="15.95" customHeight="1" thickBot="1" x14ac:dyDescent="0.3">
      <c r="C2128" s="122"/>
      <c r="D2128" s="117" t="s">
        <v>373</v>
      </c>
      <c r="E2128" s="123" t="s">
        <v>374</v>
      </c>
      <c r="F2128" s="123" t="s">
        <v>368</v>
      </c>
      <c r="G2128" s="124">
        <v>5.0000000000000001E-3</v>
      </c>
      <c r="H2128" s="125">
        <f>VLOOKUP(D2128,Upah,8,FALSE)</f>
        <v>170000</v>
      </c>
      <c r="I2128" s="126">
        <f>G2128*H2128</f>
        <v>850</v>
      </c>
    </row>
    <row r="2129" spans="2:10" ht="15.95" customHeight="1" thickBot="1" x14ac:dyDescent="0.3">
      <c r="C2129" s="132"/>
      <c r="D2129" s="133"/>
      <c r="E2129" s="134"/>
      <c r="F2129" s="134"/>
      <c r="G2129" s="135" t="s">
        <v>375</v>
      </c>
      <c r="H2129" s="136"/>
      <c r="I2129" s="137">
        <f>SUM(I2125:I2128)</f>
        <v>28515</v>
      </c>
    </row>
    <row r="2130" spans="2:10" ht="15.95" customHeight="1" x14ac:dyDescent="0.25">
      <c r="C2130" s="116" t="s">
        <v>376</v>
      </c>
      <c r="D2130" s="117" t="s">
        <v>377</v>
      </c>
      <c r="E2130" s="118"/>
      <c r="F2130" s="118"/>
      <c r="G2130" s="165"/>
      <c r="H2130" s="144"/>
      <c r="I2130" s="126"/>
    </row>
    <row r="2131" spans="2:10" ht="15.95" customHeight="1" x14ac:dyDescent="0.25">
      <c r="C2131" s="122"/>
      <c r="D2131" s="117" t="s">
        <v>676</v>
      </c>
      <c r="E2131" s="118"/>
      <c r="F2131" s="123" t="s">
        <v>385</v>
      </c>
      <c r="G2131" s="124">
        <v>1</v>
      </c>
      <c r="H2131" s="144">
        <f>VLOOKUP(D2131,Bahan,6,FALSE)</f>
        <v>10540</v>
      </c>
      <c r="I2131" s="126">
        <f>G2131*H2131</f>
        <v>10540</v>
      </c>
    </row>
    <row r="2132" spans="2:10" ht="15.95" customHeight="1" thickBot="1" x14ac:dyDescent="0.3">
      <c r="C2132" s="122"/>
      <c r="D2132" s="117" t="s">
        <v>729</v>
      </c>
      <c r="E2132" s="118"/>
      <c r="F2132" s="123" t="s">
        <v>385</v>
      </c>
      <c r="G2132" s="124">
        <v>0.1</v>
      </c>
      <c r="H2132" s="144">
        <f>VLOOKUP(D2132,Bahan,6,FALSE)</f>
        <v>12400</v>
      </c>
      <c r="I2132" s="126">
        <f>G2132*H2132</f>
        <v>1240</v>
      </c>
    </row>
    <row r="2133" spans="2:10" ht="15.95" customHeight="1" thickBot="1" x14ac:dyDescent="0.3">
      <c r="C2133" s="132"/>
      <c r="D2133" s="133"/>
      <c r="E2133" s="134"/>
      <c r="F2133" s="134"/>
      <c r="G2133" s="135" t="s">
        <v>386</v>
      </c>
      <c r="H2133" s="136"/>
      <c r="I2133" s="137">
        <f>SUM(I2131:I2132)</f>
        <v>11780</v>
      </c>
    </row>
    <row r="2134" spans="2:10" ht="15.95" customHeight="1" x14ac:dyDescent="0.25">
      <c r="C2134" s="116" t="s">
        <v>387</v>
      </c>
      <c r="D2134" s="117" t="s">
        <v>388</v>
      </c>
      <c r="E2134" s="118"/>
      <c r="F2134" s="118"/>
      <c r="G2134" s="165"/>
      <c r="H2134" s="144"/>
      <c r="I2134" s="126"/>
    </row>
    <row r="2135" spans="2:10" ht="15.95" customHeight="1" thickBot="1" x14ac:dyDescent="0.3">
      <c r="C2135" s="122"/>
      <c r="D2135" s="117" t="s">
        <v>730</v>
      </c>
      <c r="E2135" s="118"/>
      <c r="F2135" s="123" t="s">
        <v>731</v>
      </c>
      <c r="G2135" s="124">
        <v>0.8</v>
      </c>
      <c r="H2135" s="144"/>
      <c r="I2135" s="126">
        <f>G2135*H2135</f>
        <v>0</v>
      </c>
    </row>
    <row r="2136" spans="2:10" ht="15.95" customHeight="1" thickBot="1" x14ac:dyDescent="0.3">
      <c r="C2136" s="132"/>
      <c r="D2136" s="133"/>
      <c r="E2136" s="134"/>
      <c r="F2136" s="134"/>
      <c r="G2136" s="135" t="s">
        <v>389</v>
      </c>
      <c r="H2136" s="136"/>
      <c r="I2136" s="137">
        <f>I2135</f>
        <v>0</v>
      </c>
    </row>
    <row r="2137" spans="2:10" ht="15.95" customHeight="1" x14ac:dyDescent="0.25">
      <c r="C2137" s="158" t="s">
        <v>390</v>
      </c>
      <c r="D2137" s="159" t="s">
        <v>391</v>
      </c>
      <c r="E2137" s="160"/>
      <c r="F2137" s="160"/>
      <c r="G2137" s="161"/>
      <c r="H2137" s="162">
        <f>IF(AND(D2137&lt;&gt;"",F2137&lt;&gt;""),IF(C2137="",IF(F2137="OH",VLOOKUP(D2137,[1]UPAH!$B$3:$G$32,7,0),VLOOKUP(D2137,[1]BAHAN!$A$2:$D$3,4,0)),0),0)</f>
        <v>0</v>
      </c>
      <c r="I2137" s="126">
        <f>SUM(I2124:I2136)/2</f>
        <v>40295</v>
      </c>
    </row>
    <row r="2138" spans="2:10" ht="15.95" customHeight="1" thickBot="1" x14ac:dyDescent="0.3">
      <c r="C2138" s="147" t="s">
        <v>392</v>
      </c>
      <c r="D2138" s="148" t="s">
        <v>393</v>
      </c>
      <c r="E2138" s="149"/>
      <c r="F2138" s="149"/>
      <c r="G2138" s="164">
        <v>0.1</v>
      </c>
      <c r="H2138" s="151"/>
      <c r="I2138" s="146">
        <f>G2138*I2137</f>
        <v>4029.5</v>
      </c>
    </row>
    <row r="2139" spans="2:10" ht="15.95" customHeight="1" thickBot="1" x14ac:dyDescent="0.3">
      <c r="C2139" s="111" t="s">
        <v>394</v>
      </c>
      <c r="D2139" s="112" t="s">
        <v>395</v>
      </c>
      <c r="E2139" s="134"/>
      <c r="F2139" s="134"/>
      <c r="G2139" s="156"/>
      <c r="H2139" s="136">
        <f>IF(AND(D2139&lt;&gt;"",F2139&lt;&gt;""),IF(C2139="",IF(F2139="OH",VLOOKUP(D2139,[1]UPAH!$B$3:$G$32,7,0),VLOOKUP(D2139,[1]BAHAN!$A$2:$D$3,4,0)),0),0)</f>
        <v>0</v>
      </c>
      <c r="I2139" s="137">
        <f>ROUNDDOWN(I2137+I2138,0)</f>
        <v>44324</v>
      </c>
    </row>
    <row r="2140" spans="2:10" ht="15.95" customHeight="1" x14ac:dyDescent="0.25">
      <c r="C2140" s="109"/>
      <c r="D2140" s="109"/>
      <c r="G2140" s="157"/>
    </row>
    <row r="2141" spans="2:10" ht="15.95" customHeight="1" thickBot="1" x14ac:dyDescent="0.3">
      <c r="B2141" s="109" t="s">
        <v>732</v>
      </c>
      <c r="C2141" s="104" t="s">
        <v>733</v>
      </c>
      <c r="G2141" s="157"/>
      <c r="J2141" s="110">
        <f>I2158</f>
        <v>1051403</v>
      </c>
    </row>
    <row r="2142" spans="2:10" ht="15.95" customHeight="1" thickBot="1" x14ac:dyDescent="0.3">
      <c r="C2142" s="111" t="s">
        <v>328</v>
      </c>
      <c r="D2142" s="112" t="s">
        <v>359</v>
      </c>
      <c r="E2142" s="113" t="s">
        <v>360</v>
      </c>
      <c r="F2142" s="113" t="s">
        <v>330</v>
      </c>
      <c r="G2142" s="114" t="s">
        <v>361</v>
      </c>
      <c r="H2142" s="112" t="s">
        <v>362</v>
      </c>
      <c r="I2142" s="115" t="s">
        <v>363</v>
      </c>
    </row>
    <row r="2143" spans="2:10" ht="15.95" customHeight="1" x14ac:dyDescent="0.25">
      <c r="C2143" s="116" t="s">
        <v>364</v>
      </c>
      <c r="D2143" s="117" t="s">
        <v>365</v>
      </c>
      <c r="E2143" s="118"/>
      <c r="F2143" s="118"/>
      <c r="G2143" s="165"/>
      <c r="H2143" s="144"/>
      <c r="I2143" s="126"/>
    </row>
    <row r="2144" spans="2:10" ht="15.95" customHeight="1" x14ac:dyDescent="0.25">
      <c r="C2144" s="122"/>
      <c r="D2144" s="117" t="s">
        <v>366</v>
      </c>
      <c r="E2144" s="123" t="s">
        <v>367</v>
      </c>
      <c r="F2144" s="123" t="s">
        <v>368</v>
      </c>
      <c r="G2144" s="124">
        <v>1.05</v>
      </c>
      <c r="H2144" s="125">
        <f>VLOOKUP(D2144,Upah,8,FALSE)</f>
        <v>125000</v>
      </c>
      <c r="I2144" s="126">
        <f>G2144*H2144</f>
        <v>131250</v>
      </c>
    </row>
    <row r="2145" spans="2:10" ht="15.95" customHeight="1" x14ac:dyDescent="0.25">
      <c r="C2145" s="122"/>
      <c r="D2145" s="117" t="s">
        <v>734</v>
      </c>
      <c r="E2145" s="123" t="s">
        <v>735</v>
      </c>
      <c r="F2145" s="123" t="s">
        <v>368</v>
      </c>
      <c r="G2145" s="124">
        <v>1.05</v>
      </c>
      <c r="H2145" s="125">
        <f>VLOOKUP(D2145,Upah,8,FALSE)</f>
        <v>150000</v>
      </c>
      <c r="I2145" s="126">
        <f>G2145*H2145</f>
        <v>157500</v>
      </c>
    </row>
    <row r="2146" spans="2:10" ht="15.95" customHeight="1" x14ac:dyDescent="0.25">
      <c r="C2146" s="122"/>
      <c r="D2146" s="117" t="s">
        <v>429</v>
      </c>
      <c r="E2146" s="123" t="s">
        <v>372</v>
      </c>
      <c r="F2146" s="123" t="s">
        <v>368</v>
      </c>
      <c r="G2146" s="124">
        <v>0.105</v>
      </c>
      <c r="H2146" s="125">
        <f>VLOOKUP(D2146,Upah,8,FALSE)</f>
        <v>165000</v>
      </c>
      <c r="I2146" s="126">
        <f>G2146*H2146</f>
        <v>17325</v>
      </c>
    </row>
    <row r="2147" spans="2:10" ht="15.95" customHeight="1" thickBot="1" x14ac:dyDescent="0.3">
      <c r="C2147" s="122"/>
      <c r="D2147" s="117" t="s">
        <v>373</v>
      </c>
      <c r="E2147" s="123" t="s">
        <v>374</v>
      </c>
      <c r="F2147" s="123" t="s">
        <v>368</v>
      </c>
      <c r="G2147" s="124">
        <v>5.1999999999999998E-2</v>
      </c>
      <c r="H2147" s="125">
        <f>VLOOKUP(D2147,Upah,8,FALSE)</f>
        <v>170000</v>
      </c>
      <c r="I2147" s="126">
        <f>G2147*H2147</f>
        <v>8840</v>
      </c>
    </row>
    <row r="2148" spans="2:10" ht="15.95" customHeight="1" thickBot="1" x14ac:dyDescent="0.3">
      <c r="C2148" s="132"/>
      <c r="D2148" s="133"/>
      <c r="E2148" s="134"/>
      <c r="F2148" s="134"/>
      <c r="G2148" s="135" t="s">
        <v>375</v>
      </c>
      <c r="H2148" s="136"/>
      <c r="I2148" s="137">
        <f>SUM(I2144:I2147)</f>
        <v>314915</v>
      </c>
    </row>
    <row r="2149" spans="2:10" ht="15.95" customHeight="1" x14ac:dyDescent="0.25">
      <c r="C2149" s="116" t="s">
        <v>376</v>
      </c>
      <c r="D2149" s="117" t="s">
        <v>377</v>
      </c>
      <c r="E2149" s="118"/>
      <c r="F2149" s="118"/>
      <c r="G2149" s="165"/>
      <c r="H2149" s="144"/>
      <c r="I2149" s="126"/>
    </row>
    <row r="2150" spans="2:10" ht="15.95" customHeight="1" x14ac:dyDescent="0.25">
      <c r="C2150" s="122"/>
      <c r="D2150" s="117" t="s">
        <v>736</v>
      </c>
      <c r="E2150" s="118"/>
      <c r="F2150" s="123" t="s">
        <v>159</v>
      </c>
      <c r="G2150" s="124">
        <v>15</v>
      </c>
      <c r="H2150" s="144">
        <f>VLOOKUP(D2150,Bahan,6,FALSE)</f>
        <v>16890</v>
      </c>
      <c r="I2150" s="126">
        <f>G2150*H2150</f>
        <v>253350</v>
      </c>
    </row>
    <row r="2151" spans="2:10" ht="15.95" customHeight="1" x14ac:dyDescent="0.25">
      <c r="C2151" s="122"/>
      <c r="D2151" s="117" t="s">
        <v>737</v>
      </c>
      <c r="E2151" s="118"/>
      <c r="F2151" s="123" t="s">
        <v>159</v>
      </c>
      <c r="G2151" s="124">
        <v>32.799999999999997</v>
      </c>
      <c r="H2151" s="144">
        <f>VLOOKUP(D2151,Bahan,6,FALSE)</f>
        <v>11730</v>
      </c>
      <c r="I2151" s="126">
        <f>G2151*H2151</f>
        <v>384743.99999999994</v>
      </c>
    </row>
    <row r="2152" spans="2:10" ht="15.95" customHeight="1" thickBot="1" x14ac:dyDescent="0.3">
      <c r="C2152" s="122"/>
      <c r="D2152" s="117" t="s">
        <v>738</v>
      </c>
      <c r="E2152" s="118"/>
      <c r="F2152" s="123" t="s">
        <v>159</v>
      </c>
      <c r="G2152" s="124">
        <v>0.05</v>
      </c>
      <c r="H2152" s="144">
        <f>VLOOKUP(D2152,Bahan,6,FALSE)</f>
        <v>56250</v>
      </c>
      <c r="I2152" s="126">
        <f>G2152*H2152</f>
        <v>2812.5</v>
      </c>
    </row>
    <row r="2153" spans="2:10" ht="15.95" customHeight="1" thickBot="1" x14ac:dyDescent="0.3">
      <c r="C2153" s="132"/>
      <c r="D2153" s="133"/>
      <c r="E2153" s="134"/>
      <c r="F2153" s="134"/>
      <c r="G2153" s="135" t="s">
        <v>386</v>
      </c>
      <c r="H2153" s="136"/>
      <c r="I2153" s="137">
        <f>SUM(I2150:I2152)</f>
        <v>640906.5</v>
      </c>
    </row>
    <row r="2154" spans="2:10" ht="15.95" customHeight="1" thickBot="1" x14ac:dyDescent="0.3">
      <c r="C2154" s="116" t="s">
        <v>387</v>
      </c>
      <c r="D2154" s="117" t="s">
        <v>388</v>
      </c>
      <c r="E2154" s="118"/>
      <c r="F2154" s="118"/>
      <c r="G2154" s="165"/>
      <c r="H2154" s="144"/>
      <c r="I2154" s="126"/>
    </row>
    <row r="2155" spans="2:10" ht="15.95" customHeight="1" thickBot="1" x14ac:dyDescent="0.3">
      <c r="C2155" s="132"/>
      <c r="D2155" s="133"/>
      <c r="E2155" s="134"/>
      <c r="F2155" s="134"/>
      <c r="G2155" s="135" t="s">
        <v>389</v>
      </c>
      <c r="H2155" s="136"/>
      <c r="I2155" s="137">
        <f>I2154</f>
        <v>0</v>
      </c>
    </row>
    <row r="2156" spans="2:10" ht="15.95" customHeight="1" x14ac:dyDescent="0.25">
      <c r="C2156" s="158" t="s">
        <v>390</v>
      </c>
      <c r="D2156" s="159" t="s">
        <v>391</v>
      </c>
      <c r="E2156" s="160"/>
      <c r="F2156" s="160"/>
      <c r="G2156" s="161"/>
      <c r="H2156" s="162">
        <f>IF(AND(D2156&lt;&gt;"",F2156&lt;&gt;""),IF(C2156="",IF(F2156="OH",VLOOKUP(D2156,[1]UPAH!$B$3:$G$32,7,0),VLOOKUP(D2156,[1]BAHAN!$A$2:$D$3,4,0)),0),0)</f>
        <v>0</v>
      </c>
      <c r="I2156" s="126">
        <f>SUM(I2143:I2155)/2</f>
        <v>955821.5</v>
      </c>
    </row>
    <row r="2157" spans="2:10" ht="15.95" customHeight="1" thickBot="1" x14ac:dyDescent="0.3">
      <c r="C2157" s="147" t="s">
        <v>392</v>
      </c>
      <c r="D2157" s="148" t="s">
        <v>393</v>
      </c>
      <c r="E2157" s="149"/>
      <c r="F2157" s="149"/>
      <c r="G2157" s="164">
        <v>0.1</v>
      </c>
      <c r="H2157" s="151"/>
      <c r="I2157" s="146">
        <f>G2157*I2156</f>
        <v>95582.150000000009</v>
      </c>
    </row>
    <row r="2158" spans="2:10" ht="15.95" customHeight="1" thickBot="1" x14ac:dyDescent="0.3">
      <c r="C2158" s="111" t="s">
        <v>394</v>
      </c>
      <c r="D2158" s="112" t="s">
        <v>395</v>
      </c>
      <c r="E2158" s="134"/>
      <c r="F2158" s="134"/>
      <c r="G2158" s="156"/>
      <c r="H2158" s="136">
        <f>IF(AND(D2158&lt;&gt;"",F2158&lt;&gt;""),IF(C2158="",IF(F2158="OH",VLOOKUP(D2158,[1]UPAH!$B$3:$G$32,7,0),VLOOKUP(D2158,[1]BAHAN!$A$2:$D$3,4,0)),0),0)</f>
        <v>0</v>
      </c>
      <c r="I2158" s="137">
        <f>ROUNDDOWN(I2156+I2157,0)</f>
        <v>1051403</v>
      </c>
    </row>
    <row r="2159" spans="2:10" ht="15.95" customHeight="1" x14ac:dyDescent="0.25">
      <c r="C2159" s="109"/>
      <c r="D2159" s="109"/>
      <c r="G2159" s="157"/>
      <c r="H2159" s="166"/>
      <c r="I2159" s="110"/>
    </row>
    <row r="2160" spans="2:10" ht="15.95" customHeight="1" thickBot="1" x14ac:dyDescent="0.3">
      <c r="B2160" s="109" t="s">
        <v>739</v>
      </c>
      <c r="C2160" s="104" t="s">
        <v>740</v>
      </c>
      <c r="G2160" s="157"/>
      <c r="J2160" s="110">
        <f>I2178</f>
        <v>65766</v>
      </c>
    </row>
    <row r="2161" spans="3:17" ht="15.95" customHeight="1" thickBot="1" x14ac:dyDescent="0.3">
      <c r="C2161" s="111" t="s">
        <v>328</v>
      </c>
      <c r="D2161" s="112" t="s">
        <v>359</v>
      </c>
      <c r="E2161" s="113" t="s">
        <v>360</v>
      </c>
      <c r="F2161" s="113" t="s">
        <v>330</v>
      </c>
      <c r="G2161" s="114" t="s">
        <v>361</v>
      </c>
      <c r="H2161" s="112" t="s">
        <v>362</v>
      </c>
      <c r="I2161" s="115" t="s">
        <v>363</v>
      </c>
    </row>
    <row r="2162" spans="3:17" ht="15.95" customHeight="1" x14ac:dyDescent="0.25">
      <c r="C2162" s="116" t="s">
        <v>364</v>
      </c>
      <c r="D2162" s="117" t="s">
        <v>365</v>
      </c>
      <c r="E2162" s="118"/>
      <c r="F2162" s="118"/>
      <c r="G2162" s="165"/>
      <c r="H2162" s="144"/>
      <c r="I2162" s="126"/>
    </row>
    <row r="2163" spans="3:17" ht="15.95" customHeight="1" x14ac:dyDescent="0.25">
      <c r="C2163" s="122"/>
      <c r="D2163" s="117" t="s">
        <v>366</v>
      </c>
      <c r="E2163" s="123" t="s">
        <v>367</v>
      </c>
      <c r="F2163" s="123" t="s">
        <v>368</v>
      </c>
      <c r="G2163" s="124">
        <v>0.04</v>
      </c>
      <c r="H2163" s="125">
        <f>VLOOKUP(D2163,Upah,8,FALSE)</f>
        <v>125000</v>
      </c>
      <c r="I2163" s="126">
        <f>G2163*H2163</f>
        <v>5000</v>
      </c>
    </row>
    <row r="2164" spans="3:17" ht="15.95" customHeight="1" x14ac:dyDescent="0.25">
      <c r="C2164" s="122"/>
      <c r="D2164" s="117" t="s">
        <v>727</v>
      </c>
      <c r="E2164" s="123" t="s">
        <v>728</v>
      </c>
      <c r="F2164" s="123" t="s">
        <v>368</v>
      </c>
      <c r="G2164" s="124">
        <v>0.02</v>
      </c>
      <c r="H2164" s="125">
        <f>VLOOKUP(D2164,Upah,8,FALSE)</f>
        <v>150000</v>
      </c>
      <c r="I2164" s="126">
        <f>G2164*H2164</f>
        <v>3000</v>
      </c>
    </row>
    <row r="2165" spans="3:17" ht="15.95" customHeight="1" x14ac:dyDescent="0.25">
      <c r="C2165" s="122"/>
      <c r="D2165" s="117" t="s">
        <v>429</v>
      </c>
      <c r="E2165" s="123" t="s">
        <v>372</v>
      </c>
      <c r="F2165" s="123" t="s">
        <v>368</v>
      </c>
      <c r="G2165" s="124">
        <v>2E-3</v>
      </c>
      <c r="H2165" s="125">
        <f>VLOOKUP(D2165,Upah,8,FALSE)</f>
        <v>165000</v>
      </c>
      <c r="I2165" s="126">
        <f>G2165*H2165</f>
        <v>330</v>
      </c>
      <c r="P2165" s="210"/>
    </row>
    <row r="2166" spans="3:17" ht="15.95" customHeight="1" thickBot="1" x14ac:dyDescent="0.3">
      <c r="C2166" s="122"/>
      <c r="D2166" s="117" t="s">
        <v>373</v>
      </c>
      <c r="E2166" s="123" t="s">
        <v>374</v>
      </c>
      <c r="F2166" s="123" t="s">
        <v>368</v>
      </c>
      <c r="G2166" s="124">
        <v>2E-3</v>
      </c>
      <c r="H2166" s="125">
        <f>VLOOKUP(D2166,Upah,8,FALSE)</f>
        <v>170000</v>
      </c>
      <c r="I2166" s="126">
        <f>G2166*H2166</f>
        <v>340</v>
      </c>
    </row>
    <row r="2167" spans="3:17" ht="15.95" customHeight="1" thickBot="1" x14ac:dyDescent="0.3">
      <c r="C2167" s="132"/>
      <c r="D2167" s="133"/>
      <c r="E2167" s="134"/>
      <c r="F2167" s="134"/>
      <c r="G2167" s="135" t="s">
        <v>375</v>
      </c>
      <c r="H2167" s="136"/>
      <c r="I2167" s="137">
        <f>SUM(I2163:I2166)</f>
        <v>8670</v>
      </c>
    </row>
    <row r="2168" spans="3:17" ht="15.95" customHeight="1" x14ac:dyDescent="0.25">
      <c r="C2168" s="116" t="s">
        <v>376</v>
      </c>
      <c r="D2168" s="117" t="s">
        <v>377</v>
      </c>
      <c r="E2168" s="118"/>
      <c r="F2168" s="118"/>
      <c r="G2168" s="165"/>
      <c r="H2168" s="144"/>
      <c r="I2168" s="126"/>
    </row>
    <row r="2169" spans="3:17" ht="15.95" customHeight="1" x14ac:dyDescent="0.25">
      <c r="C2169" s="122"/>
      <c r="D2169" s="117" t="s">
        <v>741</v>
      </c>
      <c r="E2169" s="118"/>
      <c r="F2169" s="123" t="s">
        <v>159</v>
      </c>
      <c r="G2169" s="124">
        <v>0.4</v>
      </c>
      <c r="H2169" s="144">
        <f>VLOOKUP(D2169,Bahan,6,FALSE)</f>
        <v>54900</v>
      </c>
      <c r="I2169" s="126">
        <f>G2169*H2169</f>
        <v>21960</v>
      </c>
      <c r="P2169" s="211"/>
      <c r="Q2169" s="108"/>
    </row>
    <row r="2170" spans="3:17" ht="15.95" customHeight="1" x14ac:dyDescent="0.25">
      <c r="C2170" s="122"/>
      <c r="D2170" s="117" t="s">
        <v>676</v>
      </c>
      <c r="E2170" s="118"/>
      <c r="F2170" s="123" t="s">
        <v>385</v>
      </c>
      <c r="G2170" s="124">
        <v>0.3</v>
      </c>
      <c r="H2170" s="144">
        <f>VLOOKUP(D2170,Bahan,6,FALSE)</f>
        <v>10540</v>
      </c>
      <c r="I2170" s="126">
        <f>G2170*H2170</f>
        <v>3162</v>
      </c>
    </row>
    <row r="2171" spans="3:17" ht="15.95" customHeight="1" thickBot="1" x14ac:dyDescent="0.3">
      <c r="C2171" s="122"/>
      <c r="D2171" s="117" t="s">
        <v>729</v>
      </c>
      <c r="E2171" s="118"/>
      <c r="F2171" s="123" t="s">
        <v>385</v>
      </c>
      <c r="G2171" s="124">
        <v>0.04</v>
      </c>
      <c r="H2171" s="144">
        <f>VLOOKUP(D2171,Bahan,6,FALSE)</f>
        <v>12400</v>
      </c>
      <c r="I2171" s="126">
        <f>G2171*H2171</f>
        <v>496</v>
      </c>
    </row>
    <row r="2172" spans="3:17" ht="15.95" customHeight="1" thickBot="1" x14ac:dyDescent="0.3">
      <c r="C2172" s="132"/>
      <c r="D2172" s="133"/>
      <c r="E2172" s="134"/>
      <c r="F2172" s="134"/>
      <c r="G2172" s="135" t="s">
        <v>386</v>
      </c>
      <c r="H2172" s="136"/>
      <c r="I2172" s="137">
        <f>SUM(I2169:I2171)</f>
        <v>25618</v>
      </c>
    </row>
    <row r="2173" spans="3:17" ht="15.95" customHeight="1" x14ac:dyDescent="0.25">
      <c r="C2173" s="116" t="s">
        <v>387</v>
      </c>
      <c r="D2173" s="117" t="s">
        <v>388</v>
      </c>
      <c r="E2173" s="118"/>
      <c r="F2173" s="118"/>
      <c r="G2173" s="165"/>
      <c r="H2173" s="144"/>
      <c r="I2173" s="126"/>
    </row>
    <row r="2174" spans="3:17" ht="15.95" customHeight="1" thickBot="1" x14ac:dyDescent="0.3">
      <c r="C2174" s="122"/>
      <c r="D2174" s="117" t="s">
        <v>742</v>
      </c>
      <c r="E2174" s="118"/>
      <c r="F2174" s="123" t="s">
        <v>731</v>
      </c>
      <c r="G2174" s="124">
        <v>0.17</v>
      </c>
      <c r="H2174" s="144">
        <f>VLOOKUP(D2174,Bahan,6,FALSE)</f>
        <v>150000</v>
      </c>
      <c r="I2174" s="126">
        <f>G2174*H2174</f>
        <v>25500.000000000004</v>
      </c>
    </row>
    <row r="2175" spans="3:17" ht="15.95" customHeight="1" thickBot="1" x14ac:dyDescent="0.3">
      <c r="C2175" s="132"/>
      <c r="D2175" s="133"/>
      <c r="E2175" s="134"/>
      <c r="F2175" s="134"/>
      <c r="G2175" s="135" t="s">
        <v>389</v>
      </c>
      <c r="H2175" s="136"/>
      <c r="I2175" s="137">
        <f>I2174</f>
        <v>25500.000000000004</v>
      </c>
    </row>
    <row r="2176" spans="3:17" ht="15.95" customHeight="1" x14ac:dyDescent="0.25">
      <c r="C2176" s="158" t="s">
        <v>390</v>
      </c>
      <c r="D2176" s="159" t="s">
        <v>391</v>
      </c>
      <c r="E2176" s="160"/>
      <c r="F2176" s="160"/>
      <c r="G2176" s="161"/>
      <c r="H2176" s="162">
        <f>IF(AND(D2176&lt;&gt;"",F2176&lt;&gt;""),IF(C2176="",IF(F2176="OH",VLOOKUP(D2176,[1]UPAH!$B$3:$G$32,7,0),VLOOKUP(D2176,[1]BAHAN!$A$2:$D$3,4,0)),0),0)</f>
        <v>0</v>
      </c>
      <c r="I2176" s="126">
        <f>SUM(I2163:I2175)/2</f>
        <v>59788</v>
      </c>
    </row>
    <row r="2177" spans="2:11" ht="15.95" customHeight="1" thickBot="1" x14ac:dyDescent="0.3">
      <c r="C2177" s="147" t="s">
        <v>392</v>
      </c>
      <c r="D2177" s="148" t="s">
        <v>393</v>
      </c>
      <c r="E2177" s="149"/>
      <c r="F2177" s="149"/>
      <c r="G2177" s="164">
        <v>0.1</v>
      </c>
      <c r="H2177" s="151"/>
      <c r="I2177" s="146">
        <f>G2177*I2176</f>
        <v>5978.8</v>
      </c>
    </row>
    <row r="2178" spans="2:11" ht="15.95" customHeight="1" thickBot="1" x14ac:dyDescent="0.3">
      <c r="C2178" s="111" t="s">
        <v>394</v>
      </c>
      <c r="D2178" s="112" t="s">
        <v>395</v>
      </c>
      <c r="E2178" s="134"/>
      <c r="F2178" s="134"/>
      <c r="G2178" s="156"/>
      <c r="H2178" s="136">
        <f>IF(AND(D2178&lt;&gt;"",F2178&lt;&gt;""),IF(C2178="",IF(F2178="OH",VLOOKUP(D2178,[1]UPAH!$B$3:$G$32,7,0),VLOOKUP(D2178,[1]BAHAN!$A$2:$D$3,4,0)),0),0)</f>
        <v>0</v>
      </c>
      <c r="I2178" s="137">
        <f>ROUNDDOWN(I2176+I2177,0)</f>
        <v>65766</v>
      </c>
      <c r="K2178" s="210"/>
    </row>
    <row r="2179" spans="2:11" ht="15.95" customHeight="1" x14ac:dyDescent="0.25">
      <c r="C2179" s="109"/>
      <c r="D2179" s="109"/>
      <c r="G2179" s="157"/>
      <c r="H2179" s="166"/>
      <c r="I2179" s="110">
        <f>I2178/10</f>
        <v>6576.6</v>
      </c>
    </row>
    <row r="2180" spans="2:11" ht="15.95" customHeight="1" thickBot="1" x14ac:dyDescent="0.3">
      <c r="B2180" s="109" t="s">
        <v>743</v>
      </c>
      <c r="C2180" s="104" t="s">
        <v>744</v>
      </c>
      <c r="G2180" s="157"/>
      <c r="J2180" s="110">
        <f>I2197</f>
        <v>1976831</v>
      </c>
    </row>
    <row r="2181" spans="2:11" ht="15.95" customHeight="1" thickBot="1" x14ac:dyDescent="0.3">
      <c r="C2181" s="111" t="s">
        <v>328</v>
      </c>
      <c r="D2181" s="112" t="s">
        <v>359</v>
      </c>
      <c r="E2181" s="113" t="s">
        <v>360</v>
      </c>
      <c r="F2181" s="113" t="s">
        <v>330</v>
      </c>
      <c r="G2181" s="114" t="s">
        <v>361</v>
      </c>
      <c r="H2181" s="112" t="s">
        <v>362</v>
      </c>
      <c r="I2181" s="115" t="s">
        <v>363</v>
      </c>
    </row>
    <row r="2182" spans="2:11" ht="15.95" customHeight="1" x14ac:dyDescent="0.25">
      <c r="C2182" s="116" t="s">
        <v>364</v>
      </c>
      <c r="D2182" s="117" t="s">
        <v>365</v>
      </c>
      <c r="E2182" s="118"/>
      <c r="F2182" s="118"/>
      <c r="G2182" s="165"/>
      <c r="H2182" s="144"/>
      <c r="I2182" s="126"/>
    </row>
    <row r="2183" spans="2:11" ht="15.95" customHeight="1" x14ac:dyDescent="0.25">
      <c r="C2183" s="122"/>
      <c r="D2183" s="117" t="s">
        <v>366</v>
      </c>
      <c r="E2183" s="123" t="s">
        <v>367</v>
      </c>
      <c r="F2183" s="123" t="s">
        <v>368</v>
      </c>
      <c r="G2183" s="124">
        <v>0.65</v>
      </c>
      <c r="H2183" s="125">
        <f>VLOOKUP(D2183,Upah,8,FALSE)</f>
        <v>125000</v>
      </c>
      <c r="I2183" s="126">
        <f>G2183*H2183</f>
        <v>81250</v>
      </c>
    </row>
    <row r="2184" spans="2:11" ht="15.95" customHeight="1" x14ac:dyDescent="0.25">
      <c r="C2184" s="122"/>
      <c r="D2184" s="117" t="s">
        <v>734</v>
      </c>
      <c r="E2184" s="123" t="s">
        <v>735</v>
      </c>
      <c r="F2184" s="123" t="s">
        <v>368</v>
      </c>
      <c r="G2184" s="124">
        <v>0.65</v>
      </c>
      <c r="H2184" s="125">
        <f>VLOOKUP(D2184,Upah,8,FALSE)</f>
        <v>150000</v>
      </c>
      <c r="I2184" s="126">
        <f>G2184*H2184</f>
        <v>97500</v>
      </c>
    </row>
    <row r="2185" spans="2:11" ht="15.95" customHeight="1" x14ac:dyDescent="0.25">
      <c r="C2185" s="122"/>
      <c r="D2185" s="117" t="s">
        <v>429</v>
      </c>
      <c r="E2185" s="123" t="s">
        <v>372</v>
      </c>
      <c r="F2185" s="123" t="s">
        <v>368</v>
      </c>
      <c r="G2185" s="124">
        <v>6.5000000000000002E-2</v>
      </c>
      <c r="H2185" s="125">
        <f>VLOOKUP(D2185,Upah,8,FALSE)</f>
        <v>165000</v>
      </c>
      <c r="I2185" s="126">
        <f>G2185*H2185</f>
        <v>10725</v>
      </c>
    </row>
    <row r="2186" spans="2:11" ht="15.95" customHeight="1" thickBot="1" x14ac:dyDescent="0.3">
      <c r="C2186" s="122"/>
      <c r="D2186" s="117" t="s">
        <v>373</v>
      </c>
      <c r="E2186" s="123" t="s">
        <v>374</v>
      </c>
      <c r="F2186" s="123" t="s">
        <v>368</v>
      </c>
      <c r="G2186" s="124">
        <v>3.2000000000000001E-2</v>
      </c>
      <c r="H2186" s="125">
        <f>VLOOKUP(D2186,Upah,8,FALSE)</f>
        <v>170000</v>
      </c>
      <c r="I2186" s="126">
        <f>G2186*H2186</f>
        <v>5440</v>
      </c>
    </row>
    <row r="2187" spans="2:11" ht="15.95" customHeight="1" thickBot="1" x14ac:dyDescent="0.3">
      <c r="C2187" s="132"/>
      <c r="D2187" s="133"/>
      <c r="E2187" s="134"/>
      <c r="F2187" s="134"/>
      <c r="G2187" s="135" t="s">
        <v>375</v>
      </c>
      <c r="H2187" s="136"/>
      <c r="I2187" s="137">
        <f>SUM(I2183:I2186)</f>
        <v>194915</v>
      </c>
    </row>
    <row r="2188" spans="2:11" ht="15.95" customHeight="1" x14ac:dyDescent="0.25">
      <c r="C2188" s="116" t="s">
        <v>376</v>
      </c>
      <c r="D2188" s="117" t="s">
        <v>377</v>
      </c>
      <c r="E2188" s="118"/>
      <c r="F2188" s="118"/>
      <c r="G2188" s="165"/>
      <c r="H2188" s="144"/>
      <c r="I2188" s="126"/>
    </row>
    <row r="2189" spans="2:11" ht="15.95" customHeight="1" x14ac:dyDescent="0.25">
      <c r="C2189" s="122"/>
      <c r="D2189" s="117" t="s">
        <v>745</v>
      </c>
      <c r="E2189" s="118"/>
      <c r="F2189" s="123" t="s">
        <v>127</v>
      </c>
      <c r="G2189" s="124">
        <v>4.76</v>
      </c>
      <c r="H2189" s="144">
        <f>VLOOKUP(D2189,Bahan,6,FALSE)</f>
        <v>33660</v>
      </c>
      <c r="I2189" s="126">
        <f>G2189*H2189</f>
        <v>160221.6</v>
      </c>
    </row>
    <row r="2190" spans="2:11" ht="15.95" customHeight="1" x14ac:dyDescent="0.25">
      <c r="C2190" s="122"/>
      <c r="D2190" s="117" t="s">
        <v>746</v>
      </c>
      <c r="E2190" s="118"/>
      <c r="F2190" s="123" t="s">
        <v>127</v>
      </c>
      <c r="G2190" s="124">
        <v>4.5220000000000002</v>
      </c>
      <c r="H2190" s="144">
        <f>VLOOKUP(D2190,Bahan,6,FALSE)</f>
        <v>54450</v>
      </c>
      <c r="I2190" s="126">
        <f>G2190*H2190</f>
        <v>246222.90000000002</v>
      </c>
    </row>
    <row r="2191" spans="2:11" ht="15.95" customHeight="1" thickBot="1" x14ac:dyDescent="0.3">
      <c r="C2191" s="122"/>
      <c r="D2191" s="117" t="s">
        <v>747</v>
      </c>
      <c r="E2191" s="118"/>
      <c r="F2191" s="123" t="s">
        <v>748</v>
      </c>
      <c r="G2191" s="124">
        <v>20</v>
      </c>
      <c r="H2191" s="144">
        <f>I2176</f>
        <v>59788</v>
      </c>
      <c r="I2191" s="126">
        <f>G2191*H2191</f>
        <v>1195760</v>
      </c>
    </row>
    <row r="2192" spans="2:11" ht="15.95" customHeight="1" thickBot="1" x14ac:dyDescent="0.3">
      <c r="C2192" s="132"/>
      <c r="D2192" s="133"/>
      <c r="E2192" s="134"/>
      <c r="F2192" s="134"/>
      <c r="G2192" s="135" t="s">
        <v>386</v>
      </c>
      <c r="H2192" s="136"/>
      <c r="I2192" s="137">
        <f>SUM(I2189:I2191)</f>
        <v>1602204.5</v>
      </c>
    </row>
    <row r="2193" spans="2:10" ht="15.95" customHeight="1" thickBot="1" x14ac:dyDescent="0.3">
      <c r="C2193" s="116" t="s">
        <v>387</v>
      </c>
      <c r="D2193" s="117" t="s">
        <v>388</v>
      </c>
      <c r="E2193" s="118"/>
      <c r="F2193" s="118"/>
      <c r="G2193" s="165"/>
      <c r="H2193" s="144"/>
      <c r="I2193" s="126"/>
    </row>
    <row r="2194" spans="2:10" ht="15.95" customHeight="1" thickBot="1" x14ac:dyDescent="0.3">
      <c r="C2194" s="132"/>
      <c r="D2194" s="133"/>
      <c r="E2194" s="134"/>
      <c r="F2194" s="134"/>
      <c r="G2194" s="135" t="s">
        <v>389</v>
      </c>
      <c r="H2194" s="136"/>
      <c r="I2194" s="137">
        <f>I2193</f>
        <v>0</v>
      </c>
    </row>
    <row r="2195" spans="2:10" ht="15.95" customHeight="1" x14ac:dyDescent="0.25">
      <c r="C2195" s="158" t="s">
        <v>390</v>
      </c>
      <c r="D2195" s="159" t="s">
        <v>391</v>
      </c>
      <c r="E2195" s="160"/>
      <c r="F2195" s="160"/>
      <c r="G2195" s="161"/>
      <c r="H2195" s="162">
        <f>IF(AND(D2195&lt;&gt;"",F2195&lt;&gt;""),IF(C2195="",IF(F2195="OH",VLOOKUP(D2195,[1]UPAH!$B$3:$G$32,7,0),VLOOKUP(D2195,[1]BAHAN!$A$2:$D$3,4,0)),0),0)</f>
        <v>0</v>
      </c>
      <c r="I2195" s="126">
        <f>SUM(I2182:I2194)/2</f>
        <v>1797119.5</v>
      </c>
    </row>
    <row r="2196" spans="2:10" ht="15.95" customHeight="1" thickBot="1" x14ac:dyDescent="0.3">
      <c r="C2196" s="147" t="s">
        <v>392</v>
      </c>
      <c r="D2196" s="148" t="s">
        <v>393</v>
      </c>
      <c r="E2196" s="149"/>
      <c r="F2196" s="149"/>
      <c r="G2196" s="164">
        <v>0.1</v>
      </c>
      <c r="H2196" s="151"/>
      <c r="I2196" s="146">
        <f>G2196*I2195</f>
        <v>179711.95</v>
      </c>
    </row>
    <row r="2197" spans="2:10" ht="15.95" customHeight="1" thickBot="1" x14ac:dyDescent="0.3">
      <c r="C2197" s="111" t="s">
        <v>394</v>
      </c>
      <c r="D2197" s="112" t="s">
        <v>395</v>
      </c>
      <c r="E2197" s="134"/>
      <c r="F2197" s="134"/>
      <c r="G2197" s="156"/>
      <c r="H2197" s="136">
        <f>IF(AND(D2197&lt;&gt;"",F2197&lt;&gt;""),IF(C2197="",IF(F2197="OH",VLOOKUP(D2197,[1]UPAH!$B$3:$G$32,7,0),VLOOKUP(D2197,[1]BAHAN!$A$2:$D$3,4,0)),0),0)</f>
        <v>0</v>
      </c>
      <c r="I2197" s="137">
        <f>ROUNDDOWN(I2195+I2196,0)</f>
        <v>1976831</v>
      </c>
    </row>
    <row r="2198" spans="2:10" ht="15.95" customHeight="1" x14ac:dyDescent="0.25">
      <c r="C2198" s="109"/>
      <c r="D2198" s="109"/>
      <c r="G2198" s="157"/>
    </row>
    <row r="2199" spans="2:10" ht="15.95" customHeight="1" thickBot="1" x14ac:dyDescent="0.3">
      <c r="B2199" s="109" t="s">
        <v>749</v>
      </c>
      <c r="C2199" s="104" t="s">
        <v>750</v>
      </c>
      <c r="G2199" s="157"/>
      <c r="J2199" s="110">
        <f>I2214</f>
        <v>1130052</v>
      </c>
    </row>
    <row r="2200" spans="2:10" ht="15.95" customHeight="1" thickBot="1" x14ac:dyDescent="0.3">
      <c r="C2200" s="111" t="s">
        <v>328</v>
      </c>
      <c r="D2200" s="112" t="s">
        <v>359</v>
      </c>
      <c r="E2200" s="113" t="s">
        <v>360</v>
      </c>
      <c r="F2200" s="113" t="s">
        <v>330</v>
      </c>
      <c r="G2200" s="114" t="s">
        <v>361</v>
      </c>
      <c r="H2200" s="112" t="s">
        <v>362</v>
      </c>
      <c r="I2200" s="115" t="s">
        <v>363</v>
      </c>
    </row>
    <row r="2201" spans="2:10" ht="15.95" customHeight="1" x14ac:dyDescent="0.25">
      <c r="C2201" s="116" t="s">
        <v>364</v>
      </c>
      <c r="D2201" s="117" t="s">
        <v>365</v>
      </c>
      <c r="E2201" s="118"/>
      <c r="F2201" s="118"/>
      <c r="G2201" s="165"/>
      <c r="H2201" s="144"/>
      <c r="I2201" s="126"/>
    </row>
    <row r="2202" spans="2:10" ht="15.95" customHeight="1" x14ac:dyDescent="0.25">
      <c r="C2202" s="122"/>
      <c r="D2202" s="117" t="s">
        <v>366</v>
      </c>
      <c r="E2202" s="123" t="s">
        <v>367</v>
      </c>
      <c r="F2202" s="123" t="s">
        <v>368</v>
      </c>
      <c r="G2202" s="124">
        <v>1.2</v>
      </c>
      <c r="H2202" s="125">
        <f>VLOOKUP(D2202,Upah,8,FALSE)</f>
        <v>125000</v>
      </c>
      <c r="I2202" s="126">
        <f>G2202*H2202</f>
        <v>150000</v>
      </c>
    </row>
    <row r="2203" spans="2:10" ht="15.95" customHeight="1" x14ac:dyDescent="0.25">
      <c r="C2203" s="122"/>
      <c r="D2203" s="117" t="s">
        <v>734</v>
      </c>
      <c r="E2203" s="123" t="s">
        <v>735</v>
      </c>
      <c r="F2203" s="123" t="s">
        <v>368</v>
      </c>
      <c r="G2203" s="124">
        <v>1.2</v>
      </c>
      <c r="H2203" s="125">
        <f>VLOOKUP(D2203,Upah,8,FALSE)</f>
        <v>150000</v>
      </c>
      <c r="I2203" s="126">
        <f>G2203*H2203</f>
        <v>180000</v>
      </c>
    </row>
    <row r="2204" spans="2:10" ht="15.95" customHeight="1" x14ac:dyDescent="0.25">
      <c r="C2204" s="122"/>
      <c r="D2204" s="117" t="s">
        <v>429</v>
      </c>
      <c r="E2204" s="123" t="s">
        <v>372</v>
      </c>
      <c r="F2204" s="123" t="s">
        <v>368</v>
      </c>
      <c r="G2204" s="124">
        <v>0.12</v>
      </c>
      <c r="H2204" s="125">
        <f>VLOOKUP(D2204,Upah,8,FALSE)</f>
        <v>165000</v>
      </c>
      <c r="I2204" s="126">
        <f>G2204*H2204</f>
        <v>19800</v>
      </c>
    </row>
    <row r="2205" spans="2:10" ht="15.95" customHeight="1" thickBot="1" x14ac:dyDescent="0.3">
      <c r="C2205" s="122"/>
      <c r="D2205" s="117" t="s">
        <v>373</v>
      </c>
      <c r="E2205" s="123" t="s">
        <v>374</v>
      </c>
      <c r="F2205" s="123" t="s">
        <v>368</v>
      </c>
      <c r="G2205" s="124">
        <v>6.0000000000000001E-3</v>
      </c>
      <c r="H2205" s="125">
        <f>VLOOKUP(D2205,Upah,8,FALSE)</f>
        <v>170000</v>
      </c>
      <c r="I2205" s="126">
        <f>G2205*H2205</f>
        <v>1020</v>
      </c>
    </row>
    <row r="2206" spans="2:10" ht="15.95" customHeight="1" thickBot="1" x14ac:dyDescent="0.3">
      <c r="C2206" s="132"/>
      <c r="D2206" s="133"/>
      <c r="E2206" s="134"/>
      <c r="F2206" s="134"/>
      <c r="G2206" s="135" t="s">
        <v>375</v>
      </c>
      <c r="H2206" s="136"/>
      <c r="I2206" s="137">
        <f>SUM(I2202:I2205)</f>
        <v>350820</v>
      </c>
    </row>
    <row r="2207" spans="2:10" ht="15.95" customHeight="1" x14ac:dyDescent="0.25">
      <c r="C2207" s="116" t="s">
        <v>376</v>
      </c>
      <c r="D2207" s="117" t="s">
        <v>377</v>
      </c>
      <c r="E2207" s="118"/>
      <c r="F2207" s="118"/>
      <c r="G2207" s="165"/>
      <c r="H2207" s="144"/>
      <c r="I2207" s="126"/>
    </row>
    <row r="2208" spans="2:10" ht="15.95" customHeight="1" thickBot="1" x14ac:dyDescent="0.3">
      <c r="C2208" s="122"/>
      <c r="D2208" s="117" t="s">
        <v>751</v>
      </c>
      <c r="E2208" s="118"/>
      <c r="F2208" s="123" t="s">
        <v>82</v>
      </c>
      <c r="G2208" s="124">
        <v>1</v>
      </c>
      <c r="H2208" s="144">
        <f>VLOOKUP(D2208,Bahan,6,FALSE)</f>
        <v>676500</v>
      </c>
      <c r="I2208" s="126">
        <f>G2208*H2208</f>
        <v>676500</v>
      </c>
    </row>
    <row r="2209" spans="2:10" ht="15.95" customHeight="1" thickBot="1" x14ac:dyDescent="0.3">
      <c r="C2209" s="132"/>
      <c r="D2209" s="133"/>
      <c r="E2209" s="134"/>
      <c r="F2209" s="134"/>
      <c r="G2209" s="135" t="s">
        <v>386</v>
      </c>
      <c r="H2209" s="136"/>
      <c r="I2209" s="137">
        <f>SUM(I2208)</f>
        <v>676500</v>
      </c>
    </row>
    <row r="2210" spans="2:10" ht="15.95" customHeight="1" thickBot="1" x14ac:dyDescent="0.3">
      <c r="C2210" s="116" t="s">
        <v>387</v>
      </c>
      <c r="D2210" s="117" t="s">
        <v>388</v>
      </c>
      <c r="E2210" s="118"/>
      <c r="F2210" s="118"/>
      <c r="G2210" s="165"/>
      <c r="H2210" s="144"/>
      <c r="I2210" s="126"/>
    </row>
    <row r="2211" spans="2:10" ht="15.95" customHeight="1" thickBot="1" x14ac:dyDescent="0.3">
      <c r="C2211" s="132"/>
      <c r="D2211" s="133"/>
      <c r="E2211" s="134"/>
      <c r="F2211" s="134"/>
      <c r="G2211" s="135" t="s">
        <v>389</v>
      </c>
      <c r="H2211" s="136"/>
      <c r="I2211" s="137">
        <f>I2210</f>
        <v>0</v>
      </c>
    </row>
    <row r="2212" spans="2:10" ht="15.95" customHeight="1" x14ac:dyDescent="0.25">
      <c r="C2212" s="158" t="s">
        <v>390</v>
      </c>
      <c r="D2212" s="159" t="s">
        <v>391</v>
      </c>
      <c r="E2212" s="160"/>
      <c r="F2212" s="160"/>
      <c r="G2212" s="161"/>
      <c r="H2212" s="162">
        <f>IF(AND(D2212&lt;&gt;"",F2212&lt;&gt;""),IF(C2212="",IF(F2212="OH",VLOOKUP(D2212,[1]UPAH!$B$3:$G$32,7,0),VLOOKUP(D2212,[1]BAHAN!$A$2:$D$3,4,0)),0),0)</f>
        <v>0</v>
      </c>
      <c r="I2212" s="126">
        <f>SUM(I2199:I2211)/2</f>
        <v>1027320</v>
      </c>
    </row>
    <row r="2213" spans="2:10" ht="15.95" customHeight="1" thickBot="1" x14ac:dyDescent="0.3">
      <c r="C2213" s="147" t="s">
        <v>392</v>
      </c>
      <c r="D2213" s="148" t="s">
        <v>393</v>
      </c>
      <c r="E2213" s="149"/>
      <c r="F2213" s="149"/>
      <c r="G2213" s="164">
        <v>0.1</v>
      </c>
      <c r="H2213" s="151"/>
      <c r="I2213" s="146">
        <f>G2213*I2212</f>
        <v>102732</v>
      </c>
    </row>
    <row r="2214" spans="2:10" ht="15.95" customHeight="1" thickBot="1" x14ac:dyDescent="0.3">
      <c r="C2214" s="111" t="s">
        <v>394</v>
      </c>
      <c r="D2214" s="112" t="s">
        <v>395</v>
      </c>
      <c r="E2214" s="134"/>
      <c r="F2214" s="134"/>
      <c r="G2214" s="156"/>
      <c r="H2214" s="136">
        <f>IF(AND(D2214&lt;&gt;"",F2214&lt;&gt;""),IF(C2214="",IF(F2214="OH",VLOOKUP(D2214,[1]UPAH!$B$3:$G$32,7,0),VLOOKUP(D2214,[1]BAHAN!$A$2:$D$3,4,0)),0),0)</f>
        <v>0</v>
      </c>
      <c r="I2214" s="137">
        <f>ROUNDDOWN(I2212+I2213,0)</f>
        <v>1130052</v>
      </c>
    </row>
    <row r="2215" spans="2:10" ht="15.95" customHeight="1" x14ac:dyDescent="0.25">
      <c r="C2215" s="109"/>
      <c r="D2215" s="109"/>
      <c r="G2215" s="157"/>
    </row>
    <row r="2216" spans="2:10" ht="15.95" customHeight="1" thickBot="1" x14ac:dyDescent="0.3">
      <c r="B2216" s="109" t="s">
        <v>752</v>
      </c>
      <c r="C2216" s="104" t="s">
        <v>753</v>
      </c>
      <c r="G2216" s="157"/>
      <c r="J2216" s="110">
        <f>I2231</f>
        <v>838200</v>
      </c>
    </row>
    <row r="2217" spans="2:10" ht="15.95" customHeight="1" thickBot="1" x14ac:dyDescent="0.3">
      <c r="C2217" s="111" t="s">
        <v>328</v>
      </c>
      <c r="D2217" s="112" t="s">
        <v>359</v>
      </c>
      <c r="E2217" s="113" t="s">
        <v>360</v>
      </c>
      <c r="F2217" s="113" t="s">
        <v>330</v>
      </c>
      <c r="G2217" s="114" t="s">
        <v>361</v>
      </c>
      <c r="H2217" s="112" t="s">
        <v>362</v>
      </c>
      <c r="I2217" s="115" t="s">
        <v>363</v>
      </c>
    </row>
    <row r="2218" spans="2:10" ht="15.95" customHeight="1" x14ac:dyDescent="0.25">
      <c r="C2218" s="116" t="s">
        <v>364</v>
      </c>
      <c r="D2218" s="117" t="s">
        <v>365</v>
      </c>
      <c r="E2218" s="118"/>
      <c r="F2218" s="118"/>
      <c r="G2218" s="165"/>
      <c r="H2218" s="144"/>
      <c r="I2218" s="126"/>
    </row>
    <row r="2219" spans="2:10" ht="15.95" customHeight="1" x14ac:dyDescent="0.25">
      <c r="C2219" s="122"/>
      <c r="D2219" s="117" t="s">
        <v>366</v>
      </c>
      <c r="E2219" s="123" t="s">
        <v>367</v>
      </c>
      <c r="F2219" s="123" t="s">
        <v>368</v>
      </c>
      <c r="G2219" s="124">
        <v>0.44</v>
      </c>
      <c r="H2219" s="125">
        <f>VLOOKUP(D2219,Upah,8,FALSE)</f>
        <v>125000</v>
      </c>
      <c r="I2219" s="126">
        <f>G2219*H2219</f>
        <v>55000</v>
      </c>
    </row>
    <row r="2220" spans="2:10" ht="15.95" customHeight="1" x14ac:dyDescent="0.25">
      <c r="C2220" s="122"/>
      <c r="D2220" s="117" t="s">
        <v>455</v>
      </c>
      <c r="E2220" s="123" t="s">
        <v>456</v>
      </c>
      <c r="F2220" s="123" t="s">
        <v>368</v>
      </c>
      <c r="G2220" s="124">
        <v>0.44</v>
      </c>
      <c r="H2220" s="125">
        <f>VLOOKUP(D2220,Upah,8,FALSE)</f>
        <v>150000</v>
      </c>
      <c r="I2220" s="126">
        <f>G2220*H2220</f>
        <v>66000</v>
      </c>
    </row>
    <row r="2221" spans="2:10" ht="15.95" customHeight="1" x14ac:dyDescent="0.25">
      <c r="C2221" s="122"/>
      <c r="D2221" s="117" t="s">
        <v>429</v>
      </c>
      <c r="E2221" s="123" t="s">
        <v>372</v>
      </c>
      <c r="F2221" s="123" t="s">
        <v>368</v>
      </c>
      <c r="G2221" s="124">
        <v>4.3999999999999997E-2</v>
      </c>
      <c r="H2221" s="125">
        <f>VLOOKUP(D2221,Upah,8,FALSE)</f>
        <v>165000</v>
      </c>
      <c r="I2221" s="126">
        <f>G2221*H2221</f>
        <v>7260</v>
      </c>
    </row>
    <row r="2222" spans="2:10" ht="15.95" customHeight="1" thickBot="1" x14ac:dyDescent="0.3">
      <c r="C2222" s="122"/>
      <c r="D2222" s="117" t="s">
        <v>373</v>
      </c>
      <c r="E2222" s="123" t="s">
        <v>374</v>
      </c>
      <c r="F2222" s="123" t="s">
        <v>368</v>
      </c>
      <c r="G2222" s="124">
        <v>2.1999999999999999E-2</v>
      </c>
      <c r="H2222" s="125">
        <f>VLOOKUP(D2222,Upah,8,FALSE)</f>
        <v>170000</v>
      </c>
      <c r="I2222" s="126">
        <f>G2222*H2222</f>
        <v>3740</v>
      </c>
    </row>
    <row r="2223" spans="2:10" ht="15.95" customHeight="1" thickBot="1" x14ac:dyDescent="0.3">
      <c r="C2223" s="132"/>
      <c r="D2223" s="133"/>
      <c r="E2223" s="134"/>
      <c r="F2223" s="134"/>
      <c r="G2223" s="135" t="s">
        <v>375</v>
      </c>
      <c r="H2223" s="136"/>
      <c r="I2223" s="137">
        <f>SUM(I2219:I2222)</f>
        <v>132000</v>
      </c>
    </row>
    <row r="2224" spans="2:10" ht="15.95" customHeight="1" x14ac:dyDescent="0.25">
      <c r="C2224" s="116" t="s">
        <v>376</v>
      </c>
      <c r="D2224" s="117" t="s">
        <v>377</v>
      </c>
      <c r="E2224" s="118"/>
      <c r="F2224" s="118"/>
      <c r="G2224" s="165"/>
      <c r="H2224" s="144"/>
      <c r="I2224" s="126"/>
    </row>
    <row r="2225" spans="2:10" ht="15.95" customHeight="1" thickBot="1" x14ac:dyDescent="0.3">
      <c r="C2225" s="122"/>
      <c r="D2225" s="212" t="s">
        <v>754</v>
      </c>
      <c r="E2225" s="213"/>
      <c r="F2225" s="214" t="s">
        <v>82</v>
      </c>
      <c r="G2225" s="215">
        <v>1</v>
      </c>
      <c r="H2225" s="144">
        <f>VLOOKUP(D2225,Bahan,6,FALSE)</f>
        <v>630000</v>
      </c>
      <c r="I2225" s="126">
        <f>G2225*H2225</f>
        <v>630000</v>
      </c>
    </row>
    <row r="2226" spans="2:10" ht="15.95" customHeight="1" thickBot="1" x14ac:dyDescent="0.3">
      <c r="C2226" s="132"/>
      <c r="D2226" s="133"/>
      <c r="E2226" s="134"/>
      <c r="F2226" s="134"/>
      <c r="G2226" s="135" t="s">
        <v>386</v>
      </c>
      <c r="H2226" s="136"/>
      <c r="I2226" s="137">
        <f>SUM(I2225)</f>
        <v>630000</v>
      </c>
    </row>
    <row r="2227" spans="2:10" ht="15.95" customHeight="1" thickBot="1" x14ac:dyDescent="0.3">
      <c r="C2227" s="116" t="s">
        <v>387</v>
      </c>
      <c r="D2227" s="117" t="s">
        <v>388</v>
      </c>
      <c r="E2227" s="118"/>
      <c r="F2227" s="118"/>
      <c r="G2227" s="165"/>
      <c r="H2227" s="144">
        <f>IF(AND(D2227&lt;&gt;"",F2227&lt;&gt;""),IF(C2227="",IF(F2227="OH",VLOOKUP(D2227,[1]UPAH!$B$3:$G$32,7,0),VLOOKUP(D2227,[1]BAHAN!$A$2:$D$3,4,0)),0),0)</f>
        <v>0</v>
      </c>
      <c r="I2227" s="126">
        <f>G2227*H2227</f>
        <v>0</v>
      </c>
    </row>
    <row r="2228" spans="2:10" ht="15.95" customHeight="1" thickBot="1" x14ac:dyDescent="0.3">
      <c r="C2228" s="132"/>
      <c r="D2228" s="133"/>
      <c r="E2228" s="134"/>
      <c r="F2228" s="134"/>
      <c r="G2228" s="135" t="s">
        <v>389</v>
      </c>
      <c r="H2228" s="136"/>
      <c r="I2228" s="137">
        <f>I2227</f>
        <v>0</v>
      </c>
    </row>
    <row r="2229" spans="2:10" ht="15.95" customHeight="1" x14ac:dyDescent="0.25">
      <c r="C2229" s="158" t="s">
        <v>390</v>
      </c>
      <c r="D2229" s="159" t="s">
        <v>391</v>
      </c>
      <c r="E2229" s="160"/>
      <c r="F2229" s="160"/>
      <c r="G2229" s="161"/>
      <c r="H2229" s="162">
        <f>IF(AND(D2229&lt;&gt;"",F2229&lt;&gt;""),IF(C2229="",IF(F2229="OH",VLOOKUP(D2229,[1]UPAH!$B$3:$G$32,7,0),VLOOKUP(D2229,[1]BAHAN!$A$2:$D$3,4,0)),0),0)</f>
        <v>0</v>
      </c>
      <c r="I2229" s="126">
        <f>SUM(I2218:I2228)/2</f>
        <v>762000</v>
      </c>
    </row>
    <row r="2230" spans="2:10" ht="15.95" customHeight="1" thickBot="1" x14ac:dyDescent="0.3">
      <c r="C2230" s="147" t="s">
        <v>392</v>
      </c>
      <c r="D2230" s="148" t="s">
        <v>393</v>
      </c>
      <c r="E2230" s="149"/>
      <c r="F2230" s="149"/>
      <c r="G2230" s="164">
        <v>0.1</v>
      </c>
      <c r="H2230" s="151"/>
      <c r="I2230" s="146">
        <f>G2230*I2229</f>
        <v>76200</v>
      </c>
    </row>
    <row r="2231" spans="2:10" ht="15.95" customHeight="1" thickBot="1" x14ac:dyDescent="0.3">
      <c r="C2231" s="111" t="s">
        <v>394</v>
      </c>
      <c r="D2231" s="112" t="s">
        <v>395</v>
      </c>
      <c r="E2231" s="134"/>
      <c r="F2231" s="134"/>
      <c r="G2231" s="156"/>
      <c r="H2231" s="136">
        <f>IF(AND(D2231&lt;&gt;"",F2231&lt;&gt;""),IF(C2231="",IF(F2231="OH",VLOOKUP(D2231,[1]UPAH!$B$3:$G$32,7,0),VLOOKUP(D2231,[1]BAHAN!$A$2:$D$3,4,0)),0),0)</f>
        <v>0</v>
      </c>
      <c r="I2231" s="137">
        <f>ROUNDDOWN(I2229+I2230,0)</f>
        <v>838200</v>
      </c>
    </row>
    <row r="2232" spans="2:10" ht="15.95" customHeight="1" x14ac:dyDescent="0.25">
      <c r="C2232" s="109"/>
      <c r="D2232" s="109"/>
      <c r="G2232" s="157"/>
    </row>
    <row r="2233" spans="2:10" ht="15.95" customHeight="1" thickBot="1" x14ac:dyDescent="0.3">
      <c r="B2233" s="109" t="s">
        <v>755</v>
      </c>
      <c r="C2233" s="104" t="s">
        <v>756</v>
      </c>
      <c r="G2233" s="157"/>
      <c r="J2233" s="110">
        <f>I2248</f>
        <v>480018</v>
      </c>
    </row>
    <row r="2234" spans="2:10" ht="15.95" customHeight="1" thickBot="1" x14ac:dyDescent="0.3">
      <c r="C2234" s="111" t="s">
        <v>328</v>
      </c>
      <c r="D2234" s="112" t="s">
        <v>359</v>
      </c>
      <c r="E2234" s="113" t="s">
        <v>360</v>
      </c>
      <c r="F2234" s="113" t="s">
        <v>330</v>
      </c>
      <c r="G2234" s="114" t="s">
        <v>361</v>
      </c>
      <c r="H2234" s="112" t="s">
        <v>362</v>
      </c>
      <c r="I2234" s="115" t="s">
        <v>363</v>
      </c>
    </row>
    <row r="2235" spans="2:10" ht="15.95" customHeight="1" x14ac:dyDescent="0.25">
      <c r="C2235" s="116" t="s">
        <v>364</v>
      </c>
      <c r="D2235" s="117" t="s">
        <v>365</v>
      </c>
      <c r="E2235" s="118"/>
      <c r="F2235" s="118"/>
      <c r="G2235" s="165"/>
      <c r="H2235" s="144"/>
      <c r="I2235" s="126"/>
    </row>
    <row r="2236" spans="2:10" ht="15.95" customHeight="1" x14ac:dyDescent="0.25">
      <c r="C2236" s="122"/>
      <c r="D2236" s="117" t="s">
        <v>366</v>
      </c>
      <c r="E2236" s="123" t="s">
        <v>367</v>
      </c>
      <c r="F2236" s="123" t="s">
        <v>368</v>
      </c>
      <c r="G2236" s="124">
        <v>0.08</v>
      </c>
      <c r="H2236" s="125">
        <f>VLOOKUP(D2236,Upah,8,FALSE)</f>
        <v>125000</v>
      </c>
      <c r="I2236" s="126">
        <f>G2236*H2236</f>
        <v>10000</v>
      </c>
    </row>
    <row r="2237" spans="2:10" ht="15.95" customHeight="1" x14ac:dyDescent="0.25">
      <c r="C2237" s="122"/>
      <c r="D2237" s="117" t="s">
        <v>455</v>
      </c>
      <c r="E2237" s="123" t="s">
        <v>456</v>
      </c>
      <c r="F2237" s="123" t="s">
        <v>368</v>
      </c>
      <c r="G2237" s="124">
        <v>0.8</v>
      </c>
      <c r="H2237" s="125">
        <f>VLOOKUP(D2237,Upah,8,FALSE)</f>
        <v>150000</v>
      </c>
      <c r="I2237" s="126">
        <f>G2237*H2237</f>
        <v>120000</v>
      </c>
    </row>
    <row r="2238" spans="2:10" ht="15.95" customHeight="1" x14ac:dyDescent="0.25">
      <c r="C2238" s="122"/>
      <c r="D2238" s="117" t="s">
        <v>429</v>
      </c>
      <c r="E2238" s="123" t="s">
        <v>372</v>
      </c>
      <c r="F2238" s="123" t="s">
        <v>368</v>
      </c>
      <c r="G2238" s="124">
        <v>0.08</v>
      </c>
      <c r="H2238" s="125">
        <f>VLOOKUP(D2238,Upah,8,FALSE)</f>
        <v>165000</v>
      </c>
      <c r="I2238" s="126">
        <f>G2238*H2238</f>
        <v>13200</v>
      </c>
    </row>
    <row r="2239" spans="2:10" ht="15.95" customHeight="1" thickBot="1" x14ac:dyDescent="0.3">
      <c r="C2239" s="122"/>
      <c r="D2239" s="117" t="s">
        <v>373</v>
      </c>
      <c r="E2239" s="123" t="s">
        <v>374</v>
      </c>
      <c r="F2239" s="123" t="s">
        <v>368</v>
      </c>
      <c r="G2239" s="124">
        <v>4.0000000000000001E-3</v>
      </c>
      <c r="H2239" s="125">
        <f>VLOOKUP(D2239,Upah,8,FALSE)</f>
        <v>170000</v>
      </c>
      <c r="I2239" s="126">
        <f>G2239*H2239</f>
        <v>680</v>
      </c>
    </row>
    <row r="2240" spans="2:10" ht="15.95" customHeight="1" thickBot="1" x14ac:dyDescent="0.3">
      <c r="C2240" s="132"/>
      <c r="D2240" s="133"/>
      <c r="E2240" s="134"/>
      <c r="F2240" s="134"/>
      <c r="G2240" s="135" t="s">
        <v>375</v>
      </c>
      <c r="H2240" s="136"/>
      <c r="I2240" s="137">
        <f>SUM(I2236:I2239)</f>
        <v>143880</v>
      </c>
    </row>
    <row r="2241" spans="2:10" ht="15.95" customHeight="1" x14ac:dyDescent="0.25">
      <c r="C2241" s="116" t="s">
        <v>376</v>
      </c>
      <c r="D2241" s="117" t="s">
        <v>377</v>
      </c>
      <c r="E2241" s="118"/>
      <c r="F2241" s="118"/>
      <c r="G2241" s="165"/>
      <c r="H2241" s="144"/>
      <c r="I2241" s="126"/>
    </row>
    <row r="2242" spans="2:10" ht="15.95" customHeight="1" thickBot="1" x14ac:dyDescent="0.3">
      <c r="C2242" s="122"/>
      <c r="D2242" s="117" t="s">
        <v>757</v>
      </c>
      <c r="E2242" s="118"/>
      <c r="F2242" s="123" t="s">
        <v>82</v>
      </c>
      <c r="G2242" s="124">
        <v>1</v>
      </c>
      <c r="H2242" s="144">
        <f>VLOOKUP(D2242,Bahan,6,FALSE)</f>
        <v>292500</v>
      </c>
      <c r="I2242" s="126">
        <f>G2242*H2242</f>
        <v>292500</v>
      </c>
    </row>
    <row r="2243" spans="2:10" ht="15.95" customHeight="1" thickBot="1" x14ac:dyDescent="0.3">
      <c r="C2243" s="132"/>
      <c r="D2243" s="133"/>
      <c r="E2243" s="134"/>
      <c r="F2243" s="134"/>
      <c r="G2243" s="135" t="s">
        <v>386</v>
      </c>
      <c r="H2243" s="136"/>
      <c r="I2243" s="137">
        <f>SUM(I2242)</f>
        <v>292500</v>
      </c>
    </row>
    <row r="2244" spans="2:10" ht="15.95" customHeight="1" thickBot="1" x14ac:dyDescent="0.3">
      <c r="C2244" s="116" t="s">
        <v>387</v>
      </c>
      <c r="D2244" s="117" t="s">
        <v>388</v>
      </c>
      <c r="E2244" s="118"/>
      <c r="F2244" s="118"/>
      <c r="G2244" s="165"/>
      <c r="H2244" s="144">
        <f>IF(AND(D2244&lt;&gt;"",F2244&lt;&gt;""),IF(C2244="",IF(F2244="OH",VLOOKUP(D2244,[1]UPAH!$B$3:$G$32,7,0),VLOOKUP(D2244,[1]BAHAN!$A$2:$D$3,4,0)),0),0)</f>
        <v>0</v>
      </c>
      <c r="I2244" s="126">
        <f>G2244*H2244</f>
        <v>0</v>
      </c>
    </row>
    <row r="2245" spans="2:10" ht="15.95" customHeight="1" thickBot="1" x14ac:dyDescent="0.3">
      <c r="C2245" s="132"/>
      <c r="D2245" s="133"/>
      <c r="E2245" s="134"/>
      <c r="F2245" s="134"/>
      <c r="G2245" s="135" t="s">
        <v>389</v>
      </c>
      <c r="H2245" s="136"/>
      <c r="I2245" s="137">
        <f>I2244</f>
        <v>0</v>
      </c>
    </row>
    <row r="2246" spans="2:10" ht="15.95" customHeight="1" x14ac:dyDescent="0.25">
      <c r="C2246" s="158" t="s">
        <v>390</v>
      </c>
      <c r="D2246" s="159" t="s">
        <v>391</v>
      </c>
      <c r="E2246" s="160"/>
      <c r="F2246" s="160"/>
      <c r="G2246" s="161"/>
      <c r="H2246" s="162">
        <f>IF(AND(D2246&lt;&gt;"",F2246&lt;&gt;""),IF(C2246="",IF(F2246="OH",VLOOKUP(D2246,[1]UPAH!$B$3:$G$32,7,0),VLOOKUP(D2246,[1]BAHAN!$A$2:$D$3,4,0)),0),0)</f>
        <v>0</v>
      </c>
      <c r="I2246" s="126">
        <f>SUM(I2235:I2245)/2</f>
        <v>436380</v>
      </c>
    </row>
    <row r="2247" spans="2:10" ht="15.95" customHeight="1" thickBot="1" x14ac:dyDescent="0.3">
      <c r="C2247" s="147" t="s">
        <v>392</v>
      </c>
      <c r="D2247" s="148" t="s">
        <v>393</v>
      </c>
      <c r="E2247" s="149"/>
      <c r="F2247" s="149"/>
      <c r="G2247" s="164">
        <v>0.1</v>
      </c>
      <c r="H2247" s="151"/>
      <c r="I2247" s="146">
        <f>G2247*I2246</f>
        <v>43638</v>
      </c>
    </row>
    <row r="2248" spans="2:10" ht="15.95" customHeight="1" thickBot="1" x14ac:dyDescent="0.3">
      <c r="C2248" s="111" t="s">
        <v>394</v>
      </c>
      <c r="D2248" s="112" t="s">
        <v>395</v>
      </c>
      <c r="E2248" s="134"/>
      <c r="F2248" s="134"/>
      <c r="G2248" s="156"/>
      <c r="H2248" s="136">
        <f>IF(AND(D2248&lt;&gt;"",F2248&lt;&gt;""),IF(C2248="",IF(F2248="OH",VLOOKUP(D2248,[1]UPAH!$B$3:$G$32,7,0),VLOOKUP(D2248,[1]BAHAN!$A$2:$D$3,4,0)),0),0)</f>
        <v>0</v>
      </c>
      <c r="I2248" s="137">
        <f>ROUNDDOWN(I2246+I2247,0)</f>
        <v>480018</v>
      </c>
    </row>
    <row r="2249" spans="2:10" ht="15.95" customHeight="1" x14ac:dyDescent="0.25">
      <c r="C2249" s="109"/>
      <c r="D2249" s="109"/>
      <c r="G2249" s="157"/>
    </row>
    <row r="2250" spans="2:10" ht="15.95" customHeight="1" thickBot="1" x14ac:dyDescent="0.3">
      <c r="B2250" s="109" t="s">
        <v>758</v>
      </c>
      <c r="C2250" s="104" t="s">
        <v>759</v>
      </c>
      <c r="G2250" s="157"/>
      <c r="J2250" s="110">
        <f>I2265</f>
        <v>999240</v>
      </c>
    </row>
    <row r="2251" spans="2:10" ht="15.95" customHeight="1" thickBot="1" x14ac:dyDescent="0.3">
      <c r="C2251" s="111" t="s">
        <v>328</v>
      </c>
      <c r="D2251" s="112" t="s">
        <v>359</v>
      </c>
      <c r="E2251" s="113" t="s">
        <v>360</v>
      </c>
      <c r="F2251" s="113" t="s">
        <v>330</v>
      </c>
      <c r="G2251" s="114" t="s">
        <v>361</v>
      </c>
      <c r="H2251" s="112" t="s">
        <v>362</v>
      </c>
      <c r="I2251" s="115" t="s">
        <v>363</v>
      </c>
    </row>
    <row r="2252" spans="2:10" ht="15.95" customHeight="1" x14ac:dyDescent="0.25">
      <c r="C2252" s="116" t="s">
        <v>364</v>
      </c>
      <c r="D2252" s="117" t="s">
        <v>365</v>
      </c>
      <c r="E2252" s="118"/>
      <c r="F2252" s="118"/>
      <c r="G2252" s="165"/>
      <c r="H2252" s="144"/>
      <c r="I2252" s="126"/>
    </row>
    <row r="2253" spans="2:10" ht="15.95" customHeight="1" x14ac:dyDescent="0.25">
      <c r="C2253" s="122"/>
      <c r="D2253" s="117" t="s">
        <v>366</v>
      </c>
      <c r="E2253" s="123" t="s">
        <v>367</v>
      </c>
      <c r="F2253" s="123" t="s">
        <v>368</v>
      </c>
      <c r="G2253" s="124">
        <v>1</v>
      </c>
      <c r="H2253" s="125">
        <f>VLOOKUP(D2253,Upah,8,FALSE)</f>
        <v>125000</v>
      </c>
      <c r="I2253" s="126">
        <f>G2253*H2253</f>
        <v>125000</v>
      </c>
    </row>
    <row r="2254" spans="2:10" ht="15.95" customHeight="1" x14ac:dyDescent="0.25">
      <c r="C2254" s="122"/>
      <c r="D2254" s="117" t="s">
        <v>760</v>
      </c>
      <c r="E2254" s="123" t="s">
        <v>761</v>
      </c>
      <c r="F2254" s="123" t="s">
        <v>368</v>
      </c>
      <c r="G2254" s="124">
        <v>1</v>
      </c>
      <c r="H2254" s="125">
        <f>VLOOKUP(D2254,Upah,8,FALSE)</f>
        <v>150000</v>
      </c>
      <c r="I2254" s="126">
        <f>G2254*H2254</f>
        <v>150000</v>
      </c>
    </row>
    <row r="2255" spans="2:10" ht="15.95" customHeight="1" x14ac:dyDescent="0.25">
      <c r="C2255" s="122"/>
      <c r="D2255" s="117" t="s">
        <v>429</v>
      </c>
      <c r="E2255" s="123" t="s">
        <v>372</v>
      </c>
      <c r="F2255" s="123" t="s">
        <v>368</v>
      </c>
      <c r="G2255" s="124">
        <v>0.1</v>
      </c>
      <c r="H2255" s="125">
        <f>VLOOKUP(D2255,Upah,8,FALSE)</f>
        <v>165000</v>
      </c>
      <c r="I2255" s="126">
        <f>G2255*H2255</f>
        <v>16500</v>
      </c>
    </row>
    <row r="2256" spans="2:10" ht="15.95" customHeight="1" thickBot="1" x14ac:dyDescent="0.3">
      <c r="C2256" s="122"/>
      <c r="D2256" s="117" t="s">
        <v>373</v>
      </c>
      <c r="E2256" s="123" t="s">
        <v>374</v>
      </c>
      <c r="F2256" s="123" t="s">
        <v>368</v>
      </c>
      <c r="G2256" s="124">
        <v>0.05</v>
      </c>
      <c r="H2256" s="125">
        <f>VLOOKUP(D2256,Upah,8,FALSE)</f>
        <v>170000</v>
      </c>
      <c r="I2256" s="126">
        <f>G2256*H2256</f>
        <v>8500</v>
      </c>
    </row>
    <row r="2257" spans="2:10" ht="15.95" customHeight="1" thickBot="1" x14ac:dyDescent="0.3">
      <c r="C2257" s="132"/>
      <c r="D2257" s="133"/>
      <c r="E2257" s="134"/>
      <c r="F2257" s="134"/>
      <c r="G2257" s="135" t="s">
        <v>375</v>
      </c>
      <c r="H2257" s="136"/>
      <c r="I2257" s="137">
        <f>SUM(I2253:I2256)</f>
        <v>300000</v>
      </c>
    </row>
    <row r="2258" spans="2:10" ht="15.95" customHeight="1" x14ac:dyDescent="0.25">
      <c r="C2258" s="116" t="s">
        <v>376</v>
      </c>
      <c r="D2258" s="117" t="s">
        <v>377</v>
      </c>
      <c r="E2258" s="118"/>
      <c r="F2258" s="118"/>
      <c r="G2258" s="165"/>
      <c r="H2258" s="144"/>
      <c r="I2258" s="126"/>
    </row>
    <row r="2259" spans="2:10" ht="15.95" customHeight="1" thickBot="1" x14ac:dyDescent="0.3">
      <c r="C2259" s="122"/>
      <c r="D2259" s="117" t="s">
        <v>762</v>
      </c>
      <c r="E2259" s="118"/>
      <c r="F2259" s="123" t="s">
        <v>82</v>
      </c>
      <c r="G2259" s="124">
        <v>1</v>
      </c>
      <c r="H2259" s="144">
        <f>VLOOKUP(D2259,Bahan,6,FALSE)</f>
        <v>608400</v>
      </c>
      <c r="I2259" s="126">
        <f>G2259*H2259</f>
        <v>608400</v>
      </c>
    </row>
    <row r="2260" spans="2:10" ht="15.95" customHeight="1" thickBot="1" x14ac:dyDescent="0.3">
      <c r="C2260" s="132"/>
      <c r="D2260" s="133"/>
      <c r="E2260" s="134"/>
      <c r="F2260" s="134"/>
      <c r="G2260" s="135" t="s">
        <v>386</v>
      </c>
      <c r="H2260" s="136"/>
      <c r="I2260" s="137">
        <f>SUM(I2259)</f>
        <v>608400</v>
      </c>
    </row>
    <row r="2261" spans="2:10" ht="15.95" customHeight="1" thickBot="1" x14ac:dyDescent="0.3">
      <c r="C2261" s="116" t="s">
        <v>387</v>
      </c>
      <c r="D2261" s="117" t="s">
        <v>388</v>
      </c>
      <c r="E2261" s="118"/>
      <c r="F2261" s="118"/>
      <c r="G2261" s="165"/>
      <c r="H2261" s="144">
        <f>IF(AND(D2261&lt;&gt;"",F2261&lt;&gt;""),IF(C2261="",IF(F2261="OH",VLOOKUP(D2261,[1]UPAH!$B$3:$G$32,7,0),VLOOKUP(D2261,[1]BAHAN!$A$2:$D$3,4,0)),0),0)</f>
        <v>0</v>
      </c>
      <c r="I2261" s="126">
        <f>G2261*H2261</f>
        <v>0</v>
      </c>
    </row>
    <row r="2262" spans="2:10" ht="15.95" customHeight="1" thickBot="1" x14ac:dyDescent="0.3">
      <c r="C2262" s="132"/>
      <c r="D2262" s="133"/>
      <c r="E2262" s="134"/>
      <c r="F2262" s="134"/>
      <c r="G2262" s="135" t="s">
        <v>389</v>
      </c>
      <c r="H2262" s="136"/>
      <c r="I2262" s="137">
        <f>I2261</f>
        <v>0</v>
      </c>
    </row>
    <row r="2263" spans="2:10" ht="15.95" customHeight="1" x14ac:dyDescent="0.25">
      <c r="C2263" s="158" t="s">
        <v>390</v>
      </c>
      <c r="D2263" s="159" t="s">
        <v>391</v>
      </c>
      <c r="E2263" s="160"/>
      <c r="F2263" s="160"/>
      <c r="G2263" s="161"/>
      <c r="H2263" s="162">
        <f>IF(AND(D2263&lt;&gt;"",F2263&lt;&gt;""),IF(C2263="",IF(F2263="OH",VLOOKUP(D2263,[1]UPAH!$B$3:$G$32,7,0),VLOOKUP(D2263,[1]BAHAN!$A$2:$D$3,4,0)),0),0)</f>
        <v>0</v>
      </c>
      <c r="I2263" s="126">
        <f>SUM(I2252:I2262)/2</f>
        <v>908400</v>
      </c>
    </row>
    <row r="2264" spans="2:10" ht="15.95" customHeight="1" thickBot="1" x14ac:dyDescent="0.3">
      <c r="C2264" s="147" t="s">
        <v>392</v>
      </c>
      <c r="D2264" s="148" t="s">
        <v>393</v>
      </c>
      <c r="E2264" s="149"/>
      <c r="F2264" s="149"/>
      <c r="G2264" s="164">
        <v>0.1</v>
      </c>
      <c r="H2264" s="151"/>
      <c r="I2264" s="146">
        <f>G2264*I2263</f>
        <v>90840</v>
      </c>
    </row>
    <row r="2265" spans="2:10" ht="15.95" customHeight="1" thickBot="1" x14ac:dyDescent="0.3">
      <c r="C2265" s="111" t="s">
        <v>394</v>
      </c>
      <c r="D2265" s="112" t="s">
        <v>395</v>
      </c>
      <c r="E2265" s="134"/>
      <c r="F2265" s="134"/>
      <c r="G2265" s="156"/>
      <c r="H2265" s="136">
        <f>IF(AND(D2265&lt;&gt;"",F2265&lt;&gt;""),IF(C2265="",IF(F2265="OH",VLOOKUP(D2265,[1]UPAH!$B$3:$G$32,7,0),VLOOKUP(D2265,[1]BAHAN!$A$2:$D$3,4,0)),0),0)</f>
        <v>0</v>
      </c>
      <c r="I2265" s="137">
        <f>ROUNDDOWN(I2263+I2264,0)</f>
        <v>999240</v>
      </c>
    </row>
    <row r="2266" spans="2:10" ht="15.95" customHeight="1" x14ac:dyDescent="0.25">
      <c r="C2266" s="109"/>
      <c r="D2266" s="109"/>
      <c r="G2266" s="157"/>
    </row>
    <row r="2267" spans="2:10" ht="15.95" customHeight="1" thickBot="1" x14ac:dyDescent="0.3">
      <c r="B2267" s="109" t="s">
        <v>763</v>
      </c>
      <c r="C2267" s="104" t="s">
        <v>764</v>
      </c>
      <c r="G2267" s="157"/>
      <c r="J2267" s="110">
        <f>I2284</f>
        <v>41790</v>
      </c>
    </row>
    <row r="2268" spans="2:10" ht="15.95" customHeight="1" thickBot="1" x14ac:dyDescent="0.3">
      <c r="C2268" s="111" t="s">
        <v>328</v>
      </c>
      <c r="D2268" s="112" t="s">
        <v>359</v>
      </c>
      <c r="E2268" s="113" t="s">
        <v>360</v>
      </c>
      <c r="F2268" s="113" t="s">
        <v>330</v>
      </c>
      <c r="G2268" s="114" t="s">
        <v>361</v>
      </c>
      <c r="H2268" s="112" t="s">
        <v>362</v>
      </c>
      <c r="I2268" s="115" t="s">
        <v>363</v>
      </c>
    </row>
    <row r="2269" spans="2:10" ht="15.95" customHeight="1" x14ac:dyDescent="0.25">
      <c r="C2269" s="116" t="s">
        <v>364</v>
      </c>
      <c r="D2269" s="117" t="s">
        <v>365</v>
      </c>
      <c r="E2269" s="118"/>
      <c r="F2269" s="118"/>
      <c r="G2269" s="165"/>
      <c r="H2269" s="144"/>
      <c r="I2269" s="126"/>
    </row>
    <row r="2270" spans="2:10" ht="15.95" customHeight="1" x14ac:dyDescent="0.25">
      <c r="C2270" s="122"/>
      <c r="D2270" s="117" t="s">
        <v>366</v>
      </c>
      <c r="E2270" s="123" t="s">
        <v>367</v>
      </c>
      <c r="F2270" s="123" t="s">
        <v>368</v>
      </c>
      <c r="G2270" s="124">
        <v>4.2999999999999997E-2</v>
      </c>
      <c r="H2270" s="125">
        <f>VLOOKUP(D2270,Upah,8,FALSE)</f>
        <v>125000</v>
      </c>
      <c r="I2270" s="126">
        <f>G2270*H2270</f>
        <v>5375</v>
      </c>
    </row>
    <row r="2271" spans="2:10" ht="15.95" customHeight="1" x14ac:dyDescent="0.25">
      <c r="C2271" s="122"/>
      <c r="D2271" s="117" t="s">
        <v>760</v>
      </c>
      <c r="E2271" s="123" t="s">
        <v>761</v>
      </c>
      <c r="F2271" s="123" t="s">
        <v>368</v>
      </c>
      <c r="G2271" s="124">
        <v>4.2999999999999997E-2</v>
      </c>
      <c r="H2271" s="125">
        <f>VLOOKUP(D2271,Upah,8,FALSE)</f>
        <v>150000</v>
      </c>
      <c r="I2271" s="126">
        <f>G2271*H2271</f>
        <v>6449.9999999999991</v>
      </c>
    </row>
    <row r="2272" spans="2:10" ht="15.95" customHeight="1" x14ac:dyDescent="0.25">
      <c r="C2272" s="122"/>
      <c r="D2272" s="117" t="s">
        <v>429</v>
      </c>
      <c r="E2272" s="123" t="s">
        <v>372</v>
      </c>
      <c r="F2272" s="123" t="s">
        <v>368</v>
      </c>
      <c r="G2272" s="124">
        <v>4.3E-3</v>
      </c>
      <c r="H2272" s="125">
        <f>VLOOKUP(D2272,Upah,8,FALSE)</f>
        <v>165000</v>
      </c>
      <c r="I2272" s="126">
        <f>G2272*H2272</f>
        <v>709.5</v>
      </c>
    </row>
    <row r="2273" spans="2:10" ht="15.95" customHeight="1" thickBot="1" x14ac:dyDescent="0.3">
      <c r="C2273" s="122"/>
      <c r="D2273" s="117" t="s">
        <v>373</v>
      </c>
      <c r="E2273" s="123" t="s">
        <v>374</v>
      </c>
      <c r="F2273" s="123" t="s">
        <v>368</v>
      </c>
      <c r="G2273" s="124">
        <v>2.0999999999999999E-3</v>
      </c>
      <c r="H2273" s="125">
        <f>VLOOKUP(D2273,Upah,8,FALSE)</f>
        <v>170000</v>
      </c>
      <c r="I2273" s="126">
        <f>G2273*H2273</f>
        <v>357</v>
      </c>
    </row>
    <row r="2274" spans="2:10" ht="15.95" customHeight="1" thickBot="1" x14ac:dyDescent="0.3">
      <c r="C2274" s="132"/>
      <c r="D2274" s="133"/>
      <c r="E2274" s="134"/>
      <c r="F2274" s="134"/>
      <c r="G2274" s="135" t="s">
        <v>375</v>
      </c>
      <c r="H2274" s="136"/>
      <c r="I2274" s="137">
        <f>SUM(I2270:I2273)</f>
        <v>12891.5</v>
      </c>
    </row>
    <row r="2275" spans="2:10" ht="15.95" customHeight="1" x14ac:dyDescent="0.25">
      <c r="C2275" s="116" t="s">
        <v>376</v>
      </c>
      <c r="D2275" s="117" t="s">
        <v>377</v>
      </c>
      <c r="E2275" s="118"/>
      <c r="F2275" s="118"/>
      <c r="G2275" s="165"/>
      <c r="H2275" s="144"/>
      <c r="I2275" s="126"/>
    </row>
    <row r="2276" spans="2:10" ht="15.95" customHeight="1" x14ac:dyDescent="0.25">
      <c r="C2276" s="122"/>
      <c r="D2276" s="117" t="s">
        <v>765</v>
      </c>
      <c r="E2276" s="118"/>
      <c r="F2276" s="123" t="s">
        <v>127</v>
      </c>
      <c r="G2276" s="124">
        <v>1.1000000000000001</v>
      </c>
      <c r="H2276" s="144">
        <f>VLOOKUP(D2276,Bahan,6,FALSE)</f>
        <v>20000</v>
      </c>
      <c r="I2276" s="126">
        <f>G2276*H2276</f>
        <v>22000</v>
      </c>
    </row>
    <row r="2277" spans="2:10" ht="15.95" customHeight="1" x14ac:dyDescent="0.25">
      <c r="C2277" s="122"/>
      <c r="D2277" s="117" t="s">
        <v>766</v>
      </c>
      <c r="E2277" s="118"/>
      <c r="F2277" s="123" t="s">
        <v>152</v>
      </c>
      <c r="G2277" s="124">
        <v>2</v>
      </c>
      <c r="H2277" s="144">
        <f>VLOOKUP(D2277,Bahan,6,FALSE)</f>
        <v>200</v>
      </c>
      <c r="I2277" s="126">
        <f>G2277*H2277</f>
        <v>400</v>
      </c>
    </row>
    <row r="2278" spans="2:10" ht="15.95" customHeight="1" thickBot="1" x14ac:dyDescent="0.3">
      <c r="C2278" s="122"/>
      <c r="D2278" s="117" t="s">
        <v>767</v>
      </c>
      <c r="E2278" s="118"/>
      <c r="F2278" s="123" t="s">
        <v>768</v>
      </c>
      <c r="G2278" s="124">
        <v>0.06</v>
      </c>
      <c r="H2278" s="144">
        <f>VLOOKUP(D2278,Bahan,6,FALSE)</f>
        <v>45000</v>
      </c>
      <c r="I2278" s="126">
        <f>G2278*H2278</f>
        <v>2700</v>
      </c>
    </row>
    <row r="2279" spans="2:10" ht="15.95" customHeight="1" thickBot="1" x14ac:dyDescent="0.3">
      <c r="C2279" s="132"/>
      <c r="D2279" s="133"/>
      <c r="E2279" s="134"/>
      <c r="F2279" s="134"/>
      <c r="G2279" s="135" t="s">
        <v>386</v>
      </c>
      <c r="H2279" s="136"/>
      <c r="I2279" s="137">
        <f>SUM(I2276:I2278)</f>
        <v>25100</v>
      </c>
    </row>
    <row r="2280" spans="2:10" ht="15.95" customHeight="1" thickBot="1" x14ac:dyDescent="0.3">
      <c r="C2280" s="116" t="s">
        <v>387</v>
      </c>
      <c r="D2280" s="117" t="s">
        <v>388</v>
      </c>
      <c r="E2280" s="118"/>
      <c r="F2280" s="118"/>
      <c r="G2280" s="165"/>
      <c r="H2280" s="144">
        <f>IF(AND(D2280&lt;&gt;"",F2280&lt;&gt;""),IF(C2280="",IF(F2280="OH",VLOOKUP(D2280,[1]UPAH!$B$3:$G$32,7,0),VLOOKUP(D2280,[1]BAHAN!$A$2:$D$3,4,0)),0),0)</f>
        <v>0</v>
      </c>
      <c r="I2280" s="126">
        <f>G2280*H2280</f>
        <v>0</v>
      </c>
    </row>
    <row r="2281" spans="2:10" ht="15.95" customHeight="1" thickBot="1" x14ac:dyDescent="0.3">
      <c r="C2281" s="132"/>
      <c r="D2281" s="133"/>
      <c r="E2281" s="134"/>
      <c r="F2281" s="134"/>
      <c r="G2281" s="135" t="s">
        <v>389</v>
      </c>
      <c r="H2281" s="136"/>
      <c r="I2281" s="137">
        <f>I2280</f>
        <v>0</v>
      </c>
    </row>
    <row r="2282" spans="2:10" ht="15.95" customHeight="1" x14ac:dyDescent="0.25">
      <c r="C2282" s="158" t="s">
        <v>390</v>
      </c>
      <c r="D2282" s="159" t="s">
        <v>391</v>
      </c>
      <c r="E2282" s="160"/>
      <c r="F2282" s="160"/>
      <c r="G2282" s="161"/>
      <c r="H2282" s="162">
        <f>IF(AND(D2282&lt;&gt;"",F2282&lt;&gt;""),IF(C2282="",IF(F2282="OH",VLOOKUP(D2282,[1]UPAH!$B$3:$G$32,7,0),VLOOKUP(D2282,[1]BAHAN!$A$2:$D$3,4,0)),0),0)</f>
        <v>0</v>
      </c>
      <c r="I2282" s="126">
        <f>SUM(I2269:I2281)/2</f>
        <v>37991.5</v>
      </c>
    </row>
    <row r="2283" spans="2:10" ht="15.95" customHeight="1" thickBot="1" x14ac:dyDescent="0.3">
      <c r="C2283" s="147" t="s">
        <v>392</v>
      </c>
      <c r="D2283" s="148" t="s">
        <v>393</v>
      </c>
      <c r="E2283" s="149"/>
      <c r="F2283" s="149"/>
      <c r="G2283" s="164">
        <v>0.1</v>
      </c>
      <c r="H2283" s="151"/>
      <c r="I2283" s="146">
        <f>G2283*I2282</f>
        <v>3799.15</v>
      </c>
    </row>
    <row r="2284" spans="2:10" ht="15.95" customHeight="1" thickBot="1" x14ac:dyDescent="0.3">
      <c r="C2284" s="111" t="s">
        <v>394</v>
      </c>
      <c r="D2284" s="112" t="s">
        <v>395</v>
      </c>
      <c r="E2284" s="134"/>
      <c r="F2284" s="134"/>
      <c r="G2284" s="156"/>
      <c r="H2284" s="136">
        <f>IF(AND(D2284&lt;&gt;"",F2284&lt;&gt;""),IF(C2284="",IF(F2284="OH",VLOOKUP(D2284,[1]UPAH!$B$3:$G$32,7,0),VLOOKUP(D2284,[1]BAHAN!$A$2:$D$3,4,0)),0),0)</f>
        <v>0</v>
      </c>
      <c r="I2284" s="137">
        <f>ROUNDDOWN(I2282+I2283,0)</f>
        <v>41790</v>
      </c>
    </row>
    <row r="2285" spans="2:10" ht="15.95" customHeight="1" x14ac:dyDescent="0.25">
      <c r="C2285" s="109"/>
      <c r="D2285" s="109"/>
      <c r="G2285" s="157"/>
    </row>
    <row r="2286" spans="2:10" ht="15.95" customHeight="1" thickBot="1" x14ac:dyDescent="0.3">
      <c r="B2286" s="109" t="s">
        <v>769</v>
      </c>
      <c r="C2286" s="104" t="s">
        <v>770</v>
      </c>
      <c r="G2286" s="157"/>
      <c r="J2286" s="110">
        <f>I2302</f>
        <v>589456</v>
      </c>
    </row>
    <row r="2287" spans="2:10" ht="15.95" customHeight="1" thickBot="1" x14ac:dyDescent="0.3">
      <c r="C2287" s="111" t="s">
        <v>328</v>
      </c>
      <c r="D2287" s="112" t="s">
        <v>359</v>
      </c>
      <c r="E2287" s="113" t="s">
        <v>360</v>
      </c>
      <c r="F2287" s="113" t="s">
        <v>330</v>
      </c>
      <c r="G2287" s="114" t="s">
        <v>361</v>
      </c>
      <c r="H2287" s="112" t="s">
        <v>362</v>
      </c>
      <c r="I2287" s="115" t="s">
        <v>363</v>
      </c>
    </row>
    <row r="2288" spans="2:10" ht="15.95" customHeight="1" x14ac:dyDescent="0.25">
      <c r="C2288" s="116" t="s">
        <v>364</v>
      </c>
      <c r="D2288" s="117" t="s">
        <v>365</v>
      </c>
      <c r="E2288" s="118"/>
      <c r="F2288" s="118"/>
      <c r="G2288" s="165"/>
      <c r="H2288" s="144"/>
      <c r="I2288" s="126"/>
    </row>
    <row r="2289" spans="2:10" ht="15.95" customHeight="1" x14ac:dyDescent="0.25">
      <c r="C2289" s="122"/>
      <c r="D2289" s="117" t="s">
        <v>366</v>
      </c>
      <c r="E2289" s="123" t="s">
        <v>367</v>
      </c>
      <c r="F2289" s="123" t="s">
        <v>368</v>
      </c>
      <c r="G2289" s="124">
        <v>8.5000000000000006E-2</v>
      </c>
      <c r="H2289" s="125">
        <f>VLOOKUP(D2289,Upah,8,FALSE)</f>
        <v>125000</v>
      </c>
      <c r="I2289" s="126">
        <f>G2289*H2289</f>
        <v>10625</v>
      </c>
    </row>
    <row r="2290" spans="2:10" ht="15.95" customHeight="1" x14ac:dyDescent="0.25">
      <c r="C2290" s="122"/>
      <c r="D2290" s="117" t="s">
        <v>760</v>
      </c>
      <c r="E2290" s="216" t="s">
        <v>761</v>
      </c>
      <c r="F2290" s="123" t="s">
        <v>368</v>
      </c>
      <c r="G2290" s="124">
        <v>8.5000000000000006E-2</v>
      </c>
      <c r="H2290" s="125">
        <f>VLOOKUP(D2290,Upah,8,FALSE)</f>
        <v>150000</v>
      </c>
      <c r="I2290" s="126">
        <f>G2290*H2290</f>
        <v>12750.000000000002</v>
      </c>
    </row>
    <row r="2291" spans="2:10" ht="15.95" customHeight="1" x14ac:dyDescent="0.25">
      <c r="C2291" s="122"/>
      <c r="D2291" s="117" t="s">
        <v>429</v>
      </c>
      <c r="E2291" s="123" t="s">
        <v>372</v>
      </c>
      <c r="F2291" s="123" t="s">
        <v>368</v>
      </c>
      <c r="G2291" s="124">
        <v>8.5000000000000006E-3</v>
      </c>
      <c r="H2291" s="125">
        <f>VLOOKUP(D2291,Upah,8,FALSE)</f>
        <v>165000</v>
      </c>
      <c r="I2291" s="126">
        <f>G2291*H2291</f>
        <v>1402.5</v>
      </c>
    </row>
    <row r="2292" spans="2:10" ht="15.95" customHeight="1" thickBot="1" x14ac:dyDescent="0.3">
      <c r="C2292" s="122"/>
      <c r="D2292" s="117" t="s">
        <v>373</v>
      </c>
      <c r="E2292" s="123" t="s">
        <v>374</v>
      </c>
      <c r="F2292" s="123" t="s">
        <v>368</v>
      </c>
      <c r="G2292" s="124">
        <v>4.1999999999999997E-3</v>
      </c>
      <c r="H2292" s="125">
        <f>VLOOKUP(D2292,Upah,8,FALSE)</f>
        <v>170000</v>
      </c>
      <c r="I2292" s="126">
        <f>G2292*H2292</f>
        <v>714</v>
      </c>
    </row>
    <row r="2293" spans="2:10" ht="15.95" customHeight="1" thickBot="1" x14ac:dyDescent="0.3">
      <c r="C2293" s="132"/>
      <c r="D2293" s="133"/>
      <c r="E2293" s="134"/>
      <c r="F2293" s="134"/>
      <c r="G2293" s="135" t="s">
        <v>375</v>
      </c>
      <c r="H2293" s="136"/>
      <c r="I2293" s="137">
        <f>SUM(I2289:I2292)</f>
        <v>25491.5</v>
      </c>
    </row>
    <row r="2294" spans="2:10" ht="15.95" customHeight="1" x14ac:dyDescent="0.25">
      <c r="C2294" s="116" t="s">
        <v>376</v>
      </c>
      <c r="D2294" s="117" t="s">
        <v>377</v>
      </c>
      <c r="E2294" s="118"/>
      <c r="F2294" s="118"/>
      <c r="G2294" s="165"/>
      <c r="H2294" s="144"/>
      <c r="I2294" s="126"/>
    </row>
    <row r="2295" spans="2:10" ht="15.95" customHeight="1" x14ac:dyDescent="0.25">
      <c r="C2295" s="122"/>
      <c r="D2295" s="117" t="s">
        <v>765</v>
      </c>
      <c r="E2295" s="118"/>
      <c r="F2295" s="123" t="s">
        <v>127</v>
      </c>
      <c r="G2295" s="124">
        <v>4.4000000000000004</v>
      </c>
      <c r="H2295" s="144">
        <f>VLOOKUP(D2295,Bahan,6,FALSE)</f>
        <v>20000</v>
      </c>
      <c r="I2295" s="126">
        <f>G2295*H2295</f>
        <v>88000</v>
      </c>
    </row>
    <row r="2296" spans="2:10" ht="15.95" customHeight="1" thickBot="1" x14ac:dyDescent="0.3">
      <c r="C2296" s="122"/>
      <c r="D2296" s="117" t="s">
        <v>771</v>
      </c>
      <c r="E2296" s="118"/>
      <c r="F2296" s="123" t="s">
        <v>127</v>
      </c>
      <c r="G2296" s="124">
        <v>14.6</v>
      </c>
      <c r="H2296" s="144">
        <f>VLOOKUP(D2296,Bahan,6,FALSE)</f>
        <v>28930</v>
      </c>
      <c r="I2296" s="126">
        <f>G2296*H2296</f>
        <v>422378</v>
      </c>
    </row>
    <row r="2297" spans="2:10" ht="15.95" customHeight="1" thickBot="1" x14ac:dyDescent="0.3">
      <c r="C2297" s="132"/>
      <c r="D2297" s="133"/>
      <c r="E2297" s="134"/>
      <c r="F2297" s="134"/>
      <c r="G2297" s="135" t="s">
        <v>386</v>
      </c>
      <c r="H2297" s="136"/>
      <c r="I2297" s="137">
        <f>SUM(I2295:I2296)</f>
        <v>510378</v>
      </c>
    </row>
    <row r="2298" spans="2:10" ht="15.95" customHeight="1" thickBot="1" x14ac:dyDescent="0.3">
      <c r="C2298" s="116" t="s">
        <v>387</v>
      </c>
      <c r="D2298" s="117" t="s">
        <v>388</v>
      </c>
      <c r="E2298" s="118"/>
      <c r="F2298" s="118"/>
      <c r="G2298" s="165"/>
      <c r="H2298" s="144">
        <f>IF(AND(D2298&lt;&gt;"",F2298&lt;&gt;""),IF(C2298="",IF(F2298="OH",VLOOKUP(D2298,[1]UPAH!$B$3:$G$32,7,0),VLOOKUP(D2298,[1]BAHAN!$A$2:$D$3,4,0)),0),0)</f>
        <v>0</v>
      </c>
      <c r="I2298" s="126">
        <f>G2298*H2298</f>
        <v>0</v>
      </c>
    </row>
    <row r="2299" spans="2:10" ht="15.95" customHeight="1" thickBot="1" x14ac:dyDescent="0.3">
      <c r="C2299" s="132"/>
      <c r="D2299" s="133"/>
      <c r="E2299" s="134"/>
      <c r="F2299" s="134"/>
      <c r="G2299" s="135" t="s">
        <v>389</v>
      </c>
      <c r="H2299" s="136"/>
      <c r="I2299" s="137">
        <f>I2298</f>
        <v>0</v>
      </c>
    </row>
    <row r="2300" spans="2:10" ht="15.95" customHeight="1" x14ac:dyDescent="0.25">
      <c r="C2300" s="158" t="s">
        <v>390</v>
      </c>
      <c r="D2300" s="159" t="s">
        <v>391</v>
      </c>
      <c r="E2300" s="160"/>
      <c r="F2300" s="160"/>
      <c r="G2300" s="161"/>
      <c r="H2300" s="162">
        <f>IF(AND(D2300&lt;&gt;"",F2300&lt;&gt;""),IF(C2300="",IF(F2300="OH",VLOOKUP(D2300,[1]UPAH!$B$3:$G$32,7,0),VLOOKUP(D2300,[1]BAHAN!$A$2:$D$3,4,0)),0),0)</f>
        <v>0</v>
      </c>
      <c r="I2300" s="126">
        <f>SUM(I2287:I2299)/2</f>
        <v>535869.5</v>
      </c>
    </row>
    <row r="2301" spans="2:10" ht="15.95" customHeight="1" thickBot="1" x14ac:dyDescent="0.3">
      <c r="C2301" s="147" t="s">
        <v>392</v>
      </c>
      <c r="D2301" s="148" t="s">
        <v>393</v>
      </c>
      <c r="E2301" s="149"/>
      <c r="F2301" s="149"/>
      <c r="G2301" s="164">
        <v>0.1</v>
      </c>
      <c r="H2301" s="151"/>
      <c r="I2301" s="146">
        <f>G2301*I2300</f>
        <v>53586.950000000004</v>
      </c>
    </row>
    <row r="2302" spans="2:10" ht="15.95" customHeight="1" thickBot="1" x14ac:dyDescent="0.3">
      <c r="C2302" s="111" t="s">
        <v>394</v>
      </c>
      <c r="D2302" s="112" t="s">
        <v>395</v>
      </c>
      <c r="E2302" s="134"/>
      <c r="F2302" s="134"/>
      <c r="G2302" s="156"/>
      <c r="H2302" s="136">
        <f>IF(AND(D2302&lt;&gt;"",F2302&lt;&gt;""),IF(C2302="",IF(F2302="OH",VLOOKUP(D2302,[1]UPAH!$B$3:$G$32,7,0),VLOOKUP(D2302,[1]BAHAN!$A$2:$D$3,4,0)),0),0)</f>
        <v>0</v>
      </c>
      <c r="I2302" s="137">
        <f>ROUNDDOWN(I2300+I2301,0)</f>
        <v>589456</v>
      </c>
    </row>
    <row r="2303" spans="2:10" ht="15.95" customHeight="1" x14ac:dyDescent="0.25">
      <c r="C2303" s="109"/>
      <c r="D2303" s="109"/>
      <c r="G2303" s="157"/>
    </row>
    <row r="2304" spans="2:10" ht="15.95" customHeight="1" thickBot="1" x14ac:dyDescent="0.3">
      <c r="B2304" s="109" t="s">
        <v>772</v>
      </c>
      <c r="C2304" s="104" t="s">
        <v>773</v>
      </c>
      <c r="G2304" s="157"/>
      <c r="J2304" s="110">
        <f>I2321</f>
        <v>1746426</v>
      </c>
    </row>
    <row r="2305" spans="3:9" ht="15.95" customHeight="1" thickBot="1" x14ac:dyDescent="0.3">
      <c r="C2305" s="111" t="s">
        <v>328</v>
      </c>
      <c r="D2305" s="112" t="s">
        <v>359</v>
      </c>
      <c r="E2305" s="113" t="s">
        <v>360</v>
      </c>
      <c r="F2305" s="113" t="s">
        <v>330</v>
      </c>
      <c r="G2305" s="114" t="s">
        <v>361</v>
      </c>
      <c r="H2305" s="112" t="s">
        <v>362</v>
      </c>
      <c r="I2305" s="115" t="s">
        <v>363</v>
      </c>
    </row>
    <row r="2306" spans="3:9" ht="15.95" customHeight="1" x14ac:dyDescent="0.25">
      <c r="C2306" s="116" t="s">
        <v>364</v>
      </c>
      <c r="D2306" s="117" t="s">
        <v>365</v>
      </c>
      <c r="E2306" s="118"/>
      <c r="F2306" s="118"/>
      <c r="G2306" s="165"/>
      <c r="H2306" s="144"/>
      <c r="I2306" s="126"/>
    </row>
    <row r="2307" spans="3:9" ht="15.95" customHeight="1" x14ac:dyDescent="0.25">
      <c r="C2307" s="122"/>
      <c r="D2307" s="117" t="s">
        <v>366</v>
      </c>
      <c r="E2307" s="123" t="s">
        <v>367</v>
      </c>
      <c r="F2307" s="123" t="s">
        <v>368</v>
      </c>
      <c r="G2307" s="124">
        <v>8.5000000000000006E-2</v>
      </c>
      <c r="H2307" s="125">
        <f>VLOOKUP(D2307,Upah,8,FALSE)</f>
        <v>125000</v>
      </c>
      <c r="I2307" s="126">
        <f>G2307*H2307</f>
        <v>10625</v>
      </c>
    </row>
    <row r="2308" spans="3:9" ht="15.95" customHeight="1" x14ac:dyDescent="0.25">
      <c r="C2308" s="122"/>
      <c r="D2308" s="117" t="s">
        <v>760</v>
      </c>
      <c r="E2308" s="123" t="s">
        <v>761</v>
      </c>
      <c r="F2308" s="123" t="s">
        <v>368</v>
      </c>
      <c r="G2308" s="124">
        <v>8.5000000000000006E-2</v>
      </c>
      <c r="H2308" s="125">
        <f>VLOOKUP(D2308,Upah,8,FALSE)</f>
        <v>150000</v>
      </c>
      <c r="I2308" s="126">
        <f>G2308*H2308</f>
        <v>12750.000000000002</v>
      </c>
    </row>
    <row r="2309" spans="3:9" ht="15.95" customHeight="1" x14ac:dyDescent="0.25">
      <c r="C2309" s="122"/>
      <c r="D2309" s="117" t="s">
        <v>429</v>
      </c>
      <c r="E2309" s="123" t="s">
        <v>372</v>
      </c>
      <c r="F2309" s="123" t="s">
        <v>368</v>
      </c>
      <c r="G2309" s="124">
        <v>8.9999999999999993E-3</v>
      </c>
      <c r="H2309" s="125">
        <f>VLOOKUP(D2309,Upah,8,FALSE)</f>
        <v>165000</v>
      </c>
      <c r="I2309" s="126">
        <f>G2309*H2309</f>
        <v>1485</v>
      </c>
    </row>
    <row r="2310" spans="3:9" ht="15.95" customHeight="1" thickBot="1" x14ac:dyDescent="0.3">
      <c r="C2310" s="122"/>
      <c r="D2310" s="117" t="s">
        <v>373</v>
      </c>
      <c r="E2310" s="123" t="s">
        <v>374</v>
      </c>
      <c r="F2310" s="123" t="s">
        <v>368</v>
      </c>
      <c r="G2310" s="124">
        <v>5.0000000000000001E-3</v>
      </c>
      <c r="H2310" s="125">
        <f>VLOOKUP(D2310,Upah,8,FALSE)</f>
        <v>170000</v>
      </c>
      <c r="I2310" s="126">
        <f>G2310*H2310</f>
        <v>850</v>
      </c>
    </row>
    <row r="2311" spans="3:9" ht="15.95" customHeight="1" thickBot="1" x14ac:dyDescent="0.3">
      <c r="C2311" s="132"/>
      <c r="D2311" s="133"/>
      <c r="E2311" s="134"/>
      <c r="F2311" s="134"/>
      <c r="G2311" s="135" t="s">
        <v>375</v>
      </c>
      <c r="H2311" s="136"/>
      <c r="I2311" s="137">
        <f>SUM(I2307:I2310)</f>
        <v>25710</v>
      </c>
    </row>
    <row r="2312" spans="3:9" ht="15.95" customHeight="1" x14ac:dyDescent="0.25">
      <c r="C2312" s="116" t="s">
        <v>376</v>
      </c>
      <c r="D2312" s="117" t="s">
        <v>377</v>
      </c>
      <c r="E2312" s="118"/>
      <c r="F2312" s="118"/>
      <c r="G2312" s="165"/>
      <c r="H2312" s="144"/>
      <c r="I2312" s="126"/>
    </row>
    <row r="2313" spans="3:9" ht="15.95" customHeight="1" x14ac:dyDescent="0.25">
      <c r="C2313" s="122"/>
      <c r="D2313" s="117" t="s">
        <v>774</v>
      </c>
      <c r="E2313" s="118"/>
      <c r="F2313" s="123" t="s">
        <v>127</v>
      </c>
      <c r="G2313" s="124">
        <v>4.4000000000000004</v>
      </c>
      <c r="H2313" s="144">
        <f>VLOOKUP(D2313,Bahan,6,FALSE)</f>
        <v>571500</v>
      </c>
      <c r="I2313" s="126">
        <f>G2313*H2313</f>
        <v>2514600</v>
      </c>
    </row>
    <row r="2314" spans="3:9" ht="15.95" customHeight="1" x14ac:dyDescent="0.25">
      <c r="C2314" s="122"/>
      <c r="D2314" s="117" t="s">
        <v>775</v>
      </c>
      <c r="E2314" s="118"/>
      <c r="F2314" s="123" t="s">
        <v>127</v>
      </c>
      <c r="G2314" s="124">
        <v>4.5</v>
      </c>
      <c r="H2314" s="144">
        <f>VLOOKUP(D2314,Bahan,6,FALSE)</f>
        <v>65000</v>
      </c>
      <c r="I2314" s="126">
        <f>G2314*H2314</f>
        <v>292500</v>
      </c>
    </row>
    <row r="2315" spans="3:9" ht="15.95" customHeight="1" thickBot="1" x14ac:dyDescent="0.3">
      <c r="C2315" s="122"/>
      <c r="D2315" s="117" t="s">
        <v>767</v>
      </c>
      <c r="E2315" s="118"/>
      <c r="F2315" s="123" t="s">
        <v>768</v>
      </c>
      <c r="G2315" s="124">
        <v>0.27</v>
      </c>
      <c r="H2315" s="144">
        <f>VLOOKUP(D2315,Bahan,6,FALSE)</f>
        <v>45000</v>
      </c>
      <c r="I2315" s="126">
        <f>G2315*H2315</f>
        <v>12150</v>
      </c>
    </row>
    <row r="2316" spans="3:9" ht="15.95" customHeight="1" thickBot="1" x14ac:dyDescent="0.3">
      <c r="C2316" s="132"/>
      <c r="D2316" s="133"/>
      <c r="E2316" s="134"/>
      <c r="F2316" s="134"/>
      <c r="G2316" s="135" t="s">
        <v>386</v>
      </c>
      <c r="H2316" s="136"/>
      <c r="I2316" s="137">
        <f>SUM(I2314:I2315)</f>
        <v>304650</v>
      </c>
    </row>
    <row r="2317" spans="3:9" ht="15.95" customHeight="1" thickBot="1" x14ac:dyDescent="0.3">
      <c r="C2317" s="116" t="s">
        <v>387</v>
      </c>
      <c r="D2317" s="117" t="s">
        <v>388</v>
      </c>
      <c r="E2317" s="118"/>
      <c r="F2317" s="118"/>
      <c r="G2317" s="165"/>
      <c r="H2317" s="144">
        <f>IF(AND(D2317&lt;&gt;"",F2317&lt;&gt;""),IF(C2317="",IF(F2317="OH",VLOOKUP(D2317,[1]UPAH!$B$3:$G$32,7,0),VLOOKUP(D2317,[1]BAHAN!$A$2:$D$3,4,0)),0),0)</f>
        <v>0</v>
      </c>
      <c r="I2317" s="126">
        <f>G2317*H2317</f>
        <v>0</v>
      </c>
    </row>
    <row r="2318" spans="3:9" ht="15.95" customHeight="1" thickBot="1" x14ac:dyDescent="0.3">
      <c r="C2318" s="132"/>
      <c r="D2318" s="133"/>
      <c r="E2318" s="134"/>
      <c r="F2318" s="134"/>
      <c r="G2318" s="135" t="s">
        <v>389</v>
      </c>
      <c r="H2318" s="136"/>
      <c r="I2318" s="137">
        <f>I2317</f>
        <v>0</v>
      </c>
    </row>
    <row r="2319" spans="3:9" ht="15.95" customHeight="1" x14ac:dyDescent="0.25">
      <c r="C2319" s="158" t="s">
        <v>390</v>
      </c>
      <c r="D2319" s="159" t="s">
        <v>391</v>
      </c>
      <c r="E2319" s="160"/>
      <c r="F2319" s="160"/>
      <c r="G2319" s="161"/>
      <c r="H2319" s="162">
        <f>IF(AND(D2319&lt;&gt;"",F2319&lt;&gt;""),IF(C2319="",IF(F2319="OH",VLOOKUP(D2319,[1]UPAH!$B$3:$G$32,7,0),VLOOKUP(D2319,[1]BAHAN!$A$2:$D$3,4,0)),0),0)</f>
        <v>0</v>
      </c>
      <c r="I2319" s="126">
        <f>SUM(I2306:I2318)/2</f>
        <v>1587660</v>
      </c>
    </row>
    <row r="2320" spans="3:9" ht="15.95" customHeight="1" thickBot="1" x14ac:dyDescent="0.3">
      <c r="C2320" s="147" t="s">
        <v>392</v>
      </c>
      <c r="D2320" s="148" t="s">
        <v>393</v>
      </c>
      <c r="E2320" s="149"/>
      <c r="F2320" s="149"/>
      <c r="G2320" s="164">
        <v>0.1</v>
      </c>
      <c r="H2320" s="151"/>
      <c r="I2320" s="146">
        <f>G2320*I2319</f>
        <v>158766</v>
      </c>
    </row>
    <row r="2321" spans="2:10" ht="15.95" customHeight="1" thickBot="1" x14ac:dyDescent="0.3">
      <c r="C2321" s="111" t="s">
        <v>394</v>
      </c>
      <c r="D2321" s="112" t="s">
        <v>395</v>
      </c>
      <c r="E2321" s="134"/>
      <c r="F2321" s="134"/>
      <c r="G2321" s="156"/>
      <c r="H2321" s="136">
        <f>IF(AND(D2321&lt;&gt;"",F2321&lt;&gt;""),IF(C2321="",IF(F2321="OH",VLOOKUP(D2321,[1]UPAH!$B$3:$G$32,7,0),VLOOKUP(D2321,[1]BAHAN!$A$2:$D$3,4,0)),0),0)</f>
        <v>0</v>
      </c>
      <c r="I2321" s="137">
        <f>ROUNDDOWN(I2319+I2320,0)</f>
        <v>1746426</v>
      </c>
    </row>
    <row r="2322" spans="2:10" ht="15.95" customHeight="1" x14ac:dyDescent="0.25">
      <c r="C2322" s="109"/>
      <c r="D2322" s="109"/>
      <c r="G2322" s="157"/>
    </row>
    <row r="2323" spans="2:10" ht="15.95" customHeight="1" thickBot="1" x14ac:dyDescent="0.3">
      <c r="B2323" s="109" t="s">
        <v>776</v>
      </c>
      <c r="C2323" s="104" t="s">
        <v>777</v>
      </c>
      <c r="G2323" s="157"/>
      <c r="J2323" s="110">
        <f>I2338</f>
        <v>220368</v>
      </c>
    </row>
    <row r="2324" spans="2:10" ht="15.95" customHeight="1" thickBot="1" x14ac:dyDescent="0.3">
      <c r="C2324" s="111" t="s">
        <v>328</v>
      </c>
      <c r="D2324" s="112" t="s">
        <v>359</v>
      </c>
      <c r="E2324" s="113" t="s">
        <v>360</v>
      </c>
      <c r="F2324" s="113" t="s">
        <v>330</v>
      </c>
      <c r="G2324" s="114" t="s">
        <v>361</v>
      </c>
      <c r="H2324" s="112" t="s">
        <v>362</v>
      </c>
      <c r="I2324" s="115" t="s">
        <v>363</v>
      </c>
    </row>
    <row r="2325" spans="2:10" ht="15.95" customHeight="1" x14ac:dyDescent="0.25">
      <c r="C2325" s="116" t="s">
        <v>364</v>
      </c>
      <c r="D2325" s="117" t="s">
        <v>365</v>
      </c>
      <c r="E2325" s="118"/>
      <c r="F2325" s="118"/>
      <c r="G2325" s="165"/>
      <c r="H2325" s="144"/>
      <c r="I2325" s="126"/>
    </row>
    <row r="2326" spans="2:10" ht="15.95" customHeight="1" x14ac:dyDescent="0.25">
      <c r="C2326" s="122"/>
      <c r="D2326" s="117" t="s">
        <v>366</v>
      </c>
      <c r="E2326" s="123" t="s">
        <v>367</v>
      </c>
      <c r="F2326" s="123" t="s">
        <v>368</v>
      </c>
      <c r="G2326" s="124">
        <v>0.35</v>
      </c>
      <c r="H2326" s="125">
        <f>VLOOKUP(D2326,Upah,8,FALSE)</f>
        <v>125000</v>
      </c>
      <c r="I2326" s="126">
        <f>G2326*H2326</f>
        <v>43750</v>
      </c>
    </row>
    <row r="2327" spans="2:10" ht="15.95" customHeight="1" x14ac:dyDescent="0.25">
      <c r="C2327" s="122"/>
      <c r="D2327" s="117" t="s">
        <v>455</v>
      </c>
      <c r="E2327" s="123" t="s">
        <v>456</v>
      </c>
      <c r="F2327" s="123" t="s">
        <v>368</v>
      </c>
      <c r="G2327" s="124">
        <v>0.35</v>
      </c>
      <c r="H2327" s="125">
        <f>VLOOKUP(D2327,Upah,8,FALSE)</f>
        <v>150000</v>
      </c>
      <c r="I2327" s="126">
        <f>G2327*H2327</f>
        <v>52500</v>
      </c>
    </row>
    <row r="2328" spans="2:10" ht="15.95" customHeight="1" x14ac:dyDescent="0.25">
      <c r="C2328" s="122"/>
      <c r="D2328" s="117" t="s">
        <v>429</v>
      </c>
      <c r="E2328" s="123" t="s">
        <v>372</v>
      </c>
      <c r="F2328" s="123" t="s">
        <v>368</v>
      </c>
      <c r="G2328" s="124">
        <v>3.5000000000000003E-2</v>
      </c>
      <c r="H2328" s="125">
        <f>VLOOKUP(D2328,Upah,8,FALSE)</f>
        <v>165000</v>
      </c>
      <c r="I2328" s="126">
        <f>G2328*H2328</f>
        <v>5775.0000000000009</v>
      </c>
    </row>
    <row r="2329" spans="2:10" ht="15.95" customHeight="1" thickBot="1" x14ac:dyDescent="0.3">
      <c r="C2329" s="122"/>
      <c r="D2329" s="117" t="s">
        <v>373</v>
      </c>
      <c r="E2329" s="123" t="s">
        <v>374</v>
      </c>
      <c r="F2329" s="123" t="s">
        <v>368</v>
      </c>
      <c r="G2329" s="124">
        <v>1.7999999999999999E-2</v>
      </c>
      <c r="H2329" s="125">
        <f>VLOOKUP(D2329,Upah,8,FALSE)</f>
        <v>170000</v>
      </c>
      <c r="I2329" s="126">
        <f>G2329*H2329</f>
        <v>3059.9999999999995</v>
      </c>
    </row>
    <row r="2330" spans="2:10" ht="15.95" customHeight="1" thickBot="1" x14ac:dyDescent="0.3">
      <c r="C2330" s="132"/>
      <c r="D2330" s="133"/>
      <c r="E2330" s="134"/>
      <c r="F2330" s="134"/>
      <c r="G2330" s="135" t="s">
        <v>375</v>
      </c>
      <c r="H2330" s="136"/>
      <c r="I2330" s="137">
        <f>SUM(I2326:I2329)</f>
        <v>105085</v>
      </c>
    </row>
    <row r="2331" spans="2:10" ht="15.95" customHeight="1" x14ac:dyDescent="0.25">
      <c r="C2331" s="116" t="s">
        <v>376</v>
      </c>
      <c r="D2331" s="117" t="s">
        <v>377</v>
      </c>
      <c r="E2331" s="118"/>
      <c r="F2331" s="118"/>
      <c r="G2331" s="165"/>
      <c r="H2331" s="144"/>
      <c r="I2331" s="126"/>
    </row>
    <row r="2332" spans="2:10" ht="15.95" customHeight="1" thickBot="1" x14ac:dyDescent="0.3">
      <c r="C2332" s="122"/>
      <c r="D2332" s="117" t="s">
        <v>778</v>
      </c>
      <c r="E2332" s="118"/>
      <c r="F2332" s="123" t="s">
        <v>82</v>
      </c>
      <c r="G2332" s="124">
        <v>1</v>
      </c>
      <c r="H2332" s="144">
        <f>VLOOKUP(D2332,Bahan,6,FALSE)</f>
        <v>95250</v>
      </c>
      <c r="I2332" s="126">
        <f>G2332*H2332</f>
        <v>95250</v>
      </c>
    </row>
    <row r="2333" spans="2:10" ht="15.95" customHeight="1" thickBot="1" x14ac:dyDescent="0.3">
      <c r="C2333" s="132"/>
      <c r="D2333" s="133"/>
      <c r="E2333" s="134"/>
      <c r="F2333" s="134"/>
      <c r="G2333" s="135" t="s">
        <v>386</v>
      </c>
      <c r="H2333" s="136"/>
      <c r="I2333" s="137">
        <f>SUM(I2331:I2332)</f>
        <v>95250</v>
      </c>
    </row>
    <row r="2334" spans="2:10" ht="15.95" customHeight="1" thickBot="1" x14ac:dyDescent="0.3">
      <c r="C2334" s="116" t="s">
        <v>387</v>
      </c>
      <c r="D2334" s="117" t="s">
        <v>388</v>
      </c>
      <c r="E2334" s="118"/>
      <c r="F2334" s="118"/>
      <c r="G2334" s="165"/>
      <c r="H2334" s="144">
        <f>IF(AND(D2334&lt;&gt;"",F2334&lt;&gt;""),IF(C2334="",IF(F2334="OH",VLOOKUP(D2334,[1]UPAH!$B$3:$G$32,7,0),VLOOKUP(D2334,[1]BAHAN!$A$2:$D$3,4,0)),0),0)</f>
        <v>0</v>
      </c>
      <c r="I2334" s="126">
        <f>G2334*H2334</f>
        <v>0</v>
      </c>
    </row>
    <row r="2335" spans="2:10" ht="15.95" customHeight="1" thickBot="1" x14ac:dyDescent="0.3">
      <c r="C2335" s="132"/>
      <c r="D2335" s="133"/>
      <c r="E2335" s="134"/>
      <c r="F2335" s="134"/>
      <c r="G2335" s="135" t="s">
        <v>389</v>
      </c>
      <c r="H2335" s="136"/>
      <c r="I2335" s="137">
        <f>I2334</f>
        <v>0</v>
      </c>
    </row>
    <row r="2336" spans="2:10" ht="15.95" customHeight="1" x14ac:dyDescent="0.25">
      <c r="C2336" s="158" t="s">
        <v>390</v>
      </c>
      <c r="D2336" s="159" t="s">
        <v>391</v>
      </c>
      <c r="E2336" s="160"/>
      <c r="F2336" s="160"/>
      <c r="G2336" s="161"/>
      <c r="H2336" s="162">
        <f>IF(AND(D2336&lt;&gt;"",F2336&lt;&gt;""),IF(C2336="",IF(F2336="OH",VLOOKUP(D2336,[1]UPAH!$B$3:$G$32,7,0),VLOOKUP(D2336,[1]BAHAN!$A$2:$D$3,4,0)),0),0)</f>
        <v>0</v>
      </c>
      <c r="I2336" s="126">
        <f>SUM(I2323:I2335)/2</f>
        <v>200335</v>
      </c>
    </row>
    <row r="2337" spans="2:10" ht="15.95" customHeight="1" thickBot="1" x14ac:dyDescent="0.3">
      <c r="C2337" s="147" t="s">
        <v>392</v>
      </c>
      <c r="D2337" s="148" t="s">
        <v>393</v>
      </c>
      <c r="E2337" s="149"/>
      <c r="F2337" s="149"/>
      <c r="G2337" s="164">
        <v>0.1</v>
      </c>
      <c r="H2337" s="151"/>
      <c r="I2337" s="146">
        <f>G2337*I2336</f>
        <v>20033.5</v>
      </c>
    </row>
    <row r="2338" spans="2:10" ht="15.95" customHeight="1" thickBot="1" x14ac:dyDescent="0.3">
      <c r="C2338" s="111" t="s">
        <v>394</v>
      </c>
      <c r="D2338" s="112" t="s">
        <v>395</v>
      </c>
      <c r="E2338" s="134"/>
      <c r="F2338" s="134"/>
      <c r="G2338" s="156"/>
      <c r="H2338" s="136">
        <f>IF(AND(D2338&lt;&gt;"",F2338&lt;&gt;""),IF(C2338="",IF(F2338="OH",VLOOKUP(D2338,[1]UPAH!$B$3:$G$32,7,0),VLOOKUP(D2338,[1]BAHAN!$A$2:$D$3,4,0)),0),0)</f>
        <v>0</v>
      </c>
      <c r="I2338" s="137">
        <f>ROUNDDOWN(I2336+I2337,0)</f>
        <v>220368</v>
      </c>
    </row>
    <row r="2339" spans="2:10" ht="15.95" customHeight="1" x14ac:dyDescent="0.25">
      <c r="C2339" s="109"/>
      <c r="D2339" s="109"/>
      <c r="G2339" s="157"/>
    </row>
    <row r="2340" spans="2:10" ht="15.95" customHeight="1" thickBot="1" x14ac:dyDescent="0.3">
      <c r="B2340" s="109" t="s">
        <v>779</v>
      </c>
      <c r="C2340" s="104" t="s">
        <v>780</v>
      </c>
      <c r="G2340" s="157"/>
      <c r="J2340" s="110">
        <f>I2356</f>
        <v>2416905</v>
      </c>
    </row>
    <row r="2341" spans="2:10" ht="15.95" customHeight="1" thickBot="1" x14ac:dyDescent="0.3">
      <c r="C2341" s="111" t="s">
        <v>328</v>
      </c>
      <c r="D2341" s="112" t="s">
        <v>359</v>
      </c>
      <c r="E2341" s="113" t="s">
        <v>360</v>
      </c>
      <c r="F2341" s="113" t="s">
        <v>330</v>
      </c>
      <c r="G2341" s="114" t="s">
        <v>361</v>
      </c>
      <c r="H2341" s="112" t="s">
        <v>362</v>
      </c>
      <c r="I2341" s="115" t="s">
        <v>363</v>
      </c>
    </row>
    <row r="2342" spans="2:10" ht="15.95" customHeight="1" x14ac:dyDescent="0.25">
      <c r="C2342" s="116" t="s">
        <v>364</v>
      </c>
      <c r="D2342" s="117" t="s">
        <v>365</v>
      </c>
      <c r="E2342" s="118"/>
      <c r="F2342" s="118"/>
      <c r="G2342" s="165"/>
      <c r="H2342" s="144"/>
      <c r="I2342" s="126"/>
    </row>
    <row r="2343" spans="2:10" ht="15.95" customHeight="1" x14ac:dyDescent="0.25">
      <c r="C2343" s="122"/>
      <c r="D2343" s="117" t="s">
        <v>366</v>
      </c>
      <c r="E2343" s="123" t="s">
        <v>367</v>
      </c>
      <c r="F2343" s="123" t="s">
        <v>368</v>
      </c>
      <c r="G2343" s="124">
        <v>1.67</v>
      </c>
      <c r="H2343" s="125">
        <f>VLOOKUP(D2343,Upah,8,FALSE)</f>
        <v>125000</v>
      </c>
      <c r="I2343" s="126">
        <f>G2343*H2343</f>
        <v>208750</v>
      </c>
    </row>
    <row r="2344" spans="2:10" ht="15.95" customHeight="1" x14ac:dyDescent="0.25">
      <c r="C2344" s="122"/>
      <c r="D2344" s="117" t="s">
        <v>734</v>
      </c>
      <c r="E2344" s="123" t="s">
        <v>735</v>
      </c>
      <c r="F2344" s="123" t="s">
        <v>368</v>
      </c>
      <c r="G2344" s="124">
        <v>1.67</v>
      </c>
      <c r="H2344" s="125">
        <f>VLOOKUP(D2344,Upah,8,FALSE)</f>
        <v>150000</v>
      </c>
      <c r="I2344" s="126">
        <f>G2344*H2344</f>
        <v>250500</v>
      </c>
    </row>
    <row r="2345" spans="2:10" ht="15.95" customHeight="1" x14ac:dyDescent="0.25">
      <c r="C2345" s="122"/>
      <c r="D2345" s="117" t="s">
        <v>429</v>
      </c>
      <c r="E2345" s="123" t="s">
        <v>372</v>
      </c>
      <c r="F2345" s="123" t="s">
        <v>368</v>
      </c>
      <c r="G2345" s="124">
        <v>0.16700000000000001</v>
      </c>
      <c r="H2345" s="125">
        <f>VLOOKUP(D2345,Upah,8,FALSE)</f>
        <v>165000</v>
      </c>
      <c r="I2345" s="126">
        <f>G2345*H2345</f>
        <v>27555</v>
      </c>
    </row>
    <row r="2346" spans="2:10" ht="15.95" customHeight="1" thickBot="1" x14ac:dyDescent="0.3">
      <c r="C2346" s="122"/>
      <c r="D2346" s="117" t="s">
        <v>373</v>
      </c>
      <c r="E2346" s="123" t="s">
        <v>374</v>
      </c>
      <c r="F2346" s="123" t="s">
        <v>368</v>
      </c>
      <c r="G2346" s="124">
        <v>8.3000000000000004E-2</v>
      </c>
      <c r="H2346" s="125">
        <f>VLOOKUP(D2346,Upah,8,FALSE)</f>
        <v>170000</v>
      </c>
      <c r="I2346" s="126">
        <f>G2346*H2346</f>
        <v>14110</v>
      </c>
    </row>
    <row r="2347" spans="2:10" ht="15.95" customHeight="1" thickBot="1" x14ac:dyDescent="0.3">
      <c r="C2347" s="132"/>
      <c r="D2347" s="133"/>
      <c r="E2347" s="134"/>
      <c r="F2347" s="134"/>
      <c r="G2347" s="135" t="s">
        <v>375</v>
      </c>
      <c r="H2347" s="136"/>
      <c r="I2347" s="137">
        <f>SUM(I2343:I2346)</f>
        <v>500915</v>
      </c>
    </row>
    <row r="2348" spans="2:10" ht="15.95" customHeight="1" x14ac:dyDescent="0.25">
      <c r="C2348" s="116" t="s">
        <v>376</v>
      </c>
      <c r="D2348" s="117" t="s">
        <v>377</v>
      </c>
      <c r="E2348" s="118"/>
      <c r="F2348" s="118"/>
      <c r="G2348" s="165"/>
      <c r="H2348" s="144"/>
      <c r="I2348" s="126"/>
    </row>
    <row r="2349" spans="2:10" ht="15.95" customHeight="1" x14ac:dyDescent="0.25">
      <c r="C2349" s="122"/>
      <c r="D2349" s="117" t="s">
        <v>415</v>
      </c>
      <c r="E2349" s="118"/>
      <c r="F2349" s="123" t="s">
        <v>133</v>
      </c>
      <c r="G2349" s="124">
        <v>6.1769999999999996</v>
      </c>
      <c r="H2349" s="144">
        <f>VLOOKUP(D2349,Bahan,6,FALSE)</f>
        <v>12500</v>
      </c>
      <c r="I2349" s="126">
        <f>G2349*H2349</f>
        <v>77212.5</v>
      </c>
    </row>
    <row r="2350" spans="2:10" ht="15.95" customHeight="1" thickBot="1" x14ac:dyDescent="0.3">
      <c r="C2350" s="122"/>
      <c r="D2350" s="117" t="s">
        <v>747</v>
      </c>
      <c r="E2350" s="118"/>
      <c r="F2350" s="123" t="s">
        <v>748</v>
      </c>
      <c r="G2350" s="124">
        <v>27.08</v>
      </c>
      <c r="H2350" s="144">
        <f>I2176</f>
        <v>59788</v>
      </c>
      <c r="I2350" s="126">
        <f>G2350*H2350</f>
        <v>1619059.0399999998</v>
      </c>
    </row>
    <row r="2351" spans="2:10" ht="15.95" customHeight="1" thickBot="1" x14ac:dyDescent="0.3">
      <c r="C2351" s="132"/>
      <c r="D2351" s="133"/>
      <c r="E2351" s="134"/>
      <c r="F2351" s="134"/>
      <c r="G2351" s="135" t="s">
        <v>386</v>
      </c>
      <c r="H2351" s="136"/>
      <c r="I2351" s="137">
        <f>SUM(I2349:I2350)</f>
        <v>1696271.5399999998</v>
      </c>
    </row>
    <row r="2352" spans="2:10" ht="15.95" customHeight="1" thickBot="1" x14ac:dyDescent="0.3">
      <c r="C2352" s="116" t="s">
        <v>387</v>
      </c>
      <c r="D2352" s="117" t="s">
        <v>388</v>
      </c>
      <c r="E2352" s="118"/>
      <c r="F2352" s="118"/>
      <c r="G2352" s="165"/>
      <c r="H2352" s="144">
        <f>IF(AND(D2352&lt;&gt;"",F2352&lt;&gt;""),IF(C2352="",IF(F2352="OH",VLOOKUP(D2352,[1]UPAH!$B$3:$G$32,7,0),VLOOKUP(D2352,[1]BAHAN!$A$2:$D$3,4,0)),0),0)</f>
        <v>0</v>
      </c>
      <c r="I2352" s="126">
        <f>G2352*H2352</f>
        <v>0</v>
      </c>
    </row>
    <row r="2353" spans="2:10" ht="15.95" customHeight="1" thickBot="1" x14ac:dyDescent="0.3">
      <c r="C2353" s="132"/>
      <c r="D2353" s="133"/>
      <c r="E2353" s="134"/>
      <c r="F2353" s="134"/>
      <c r="G2353" s="135" t="s">
        <v>389</v>
      </c>
      <c r="H2353" s="136"/>
      <c r="I2353" s="137">
        <f>I2352</f>
        <v>0</v>
      </c>
    </row>
    <row r="2354" spans="2:10" ht="15.95" customHeight="1" x14ac:dyDescent="0.25">
      <c r="C2354" s="158" t="s">
        <v>390</v>
      </c>
      <c r="D2354" s="159" t="s">
        <v>391</v>
      </c>
      <c r="E2354" s="160"/>
      <c r="F2354" s="160"/>
      <c r="G2354" s="161"/>
      <c r="H2354" s="162">
        <f>IF(AND(D2354&lt;&gt;"",F2354&lt;&gt;""),IF(C2354="",IF(F2354="OH",VLOOKUP(D2354,[1]UPAH!$B$3:$G$32,7,0),VLOOKUP(D2354,[1]BAHAN!$A$2:$D$3,4,0)),0),0)</f>
        <v>0</v>
      </c>
      <c r="I2354" s="126">
        <f>SUM(I2341:I2353)/2</f>
        <v>2197186.54</v>
      </c>
    </row>
    <row r="2355" spans="2:10" ht="15.95" customHeight="1" thickBot="1" x14ac:dyDescent="0.3">
      <c r="C2355" s="147" t="s">
        <v>392</v>
      </c>
      <c r="D2355" s="148" t="s">
        <v>393</v>
      </c>
      <c r="E2355" s="149"/>
      <c r="F2355" s="149"/>
      <c r="G2355" s="164">
        <v>0.1</v>
      </c>
      <c r="H2355" s="151"/>
      <c r="I2355" s="146">
        <f>G2355*I2354</f>
        <v>219718.65400000001</v>
      </c>
    </row>
    <row r="2356" spans="2:10" ht="15.95" customHeight="1" thickBot="1" x14ac:dyDescent="0.3">
      <c r="C2356" s="111" t="s">
        <v>394</v>
      </c>
      <c r="D2356" s="112" t="s">
        <v>395</v>
      </c>
      <c r="E2356" s="134"/>
      <c r="F2356" s="134"/>
      <c r="G2356" s="156"/>
      <c r="H2356" s="136">
        <f>IF(AND(D2356&lt;&gt;"",F2356&lt;&gt;""),IF(C2356="",IF(F2356="OH",VLOOKUP(D2356,[1]UPAH!$B$3:$G$32,7,0),VLOOKUP(D2356,[1]BAHAN!$A$2:$D$3,4,0)),0),0)</f>
        <v>0</v>
      </c>
      <c r="I2356" s="137">
        <f>ROUNDDOWN(I2354+I2355,0)</f>
        <v>2416905</v>
      </c>
    </row>
    <row r="2357" spans="2:10" ht="15.95" customHeight="1" x14ac:dyDescent="0.25">
      <c r="C2357" s="109"/>
      <c r="D2357" s="109"/>
      <c r="G2357" s="157"/>
    </row>
    <row r="2358" spans="2:10" ht="15.95" customHeight="1" thickBot="1" x14ac:dyDescent="0.3">
      <c r="B2358" s="109" t="s">
        <v>781</v>
      </c>
      <c r="C2358" s="104" t="s">
        <v>782</v>
      </c>
      <c r="G2358" s="157"/>
      <c r="J2358" s="110">
        <f>I2375</f>
        <v>807692</v>
      </c>
    </row>
    <row r="2359" spans="2:10" ht="15.95" customHeight="1" thickBot="1" x14ac:dyDescent="0.3">
      <c r="C2359" s="111" t="s">
        <v>328</v>
      </c>
      <c r="D2359" s="112" t="s">
        <v>359</v>
      </c>
      <c r="E2359" s="113" t="s">
        <v>360</v>
      </c>
      <c r="F2359" s="113" t="s">
        <v>330</v>
      </c>
      <c r="G2359" s="114" t="s">
        <v>361</v>
      </c>
      <c r="H2359" s="112" t="s">
        <v>362</v>
      </c>
      <c r="I2359" s="115" t="s">
        <v>363</v>
      </c>
    </row>
    <row r="2360" spans="2:10" ht="15.95" customHeight="1" x14ac:dyDescent="0.25">
      <c r="C2360" s="116" t="s">
        <v>364</v>
      </c>
      <c r="D2360" s="117" t="s">
        <v>365</v>
      </c>
      <c r="E2360" s="118"/>
      <c r="F2360" s="118"/>
      <c r="G2360" s="165"/>
      <c r="H2360" s="144"/>
      <c r="I2360" s="126"/>
    </row>
    <row r="2361" spans="2:10" ht="15.95" customHeight="1" x14ac:dyDescent="0.25">
      <c r="C2361" s="122"/>
      <c r="D2361" s="117" t="s">
        <v>366</v>
      </c>
      <c r="E2361" s="123" t="s">
        <v>367</v>
      </c>
      <c r="F2361" s="123" t="s">
        <v>368</v>
      </c>
      <c r="G2361" s="124">
        <v>0.1</v>
      </c>
      <c r="H2361" s="125">
        <f>VLOOKUP(D2361,Upah,8,FALSE)</f>
        <v>125000</v>
      </c>
      <c r="I2361" s="126">
        <f>G2361*H2361</f>
        <v>12500</v>
      </c>
    </row>
    <row r="2362" spans="2:10" ht="15.95" customHeight="1" x14ac:dyDescent="0.25">
      <c r="C2362" s="122"/>
      <c r="D2362" s="117" t="s">
        <v>455</v>
      </c>
      <c r="E2362" s="123" t="s">
        <v>456</v>
      </c>
      <c r="F2362" s="123" t="s">
        <v>368</v>
      </c>
      <c r="G2362" s="124">
        <v>0.1</v>
      </c>
      <c r="H2362" s="125">
        <f>VLOOKUP(D2362,Upah,8,FALSE)</f>
        <v>150000</v>
      </c>
      <c r="I2362" s="126">
        <f>G2362*H2362</f>
        <v>15000</v>
      </c>
    </row>
    <row r="2363" spans="2:10" ht="15.95" customHeight="1" x14ac:dyDescent="0.25">
      <c r="C2363" s="122"/>
      <c r="D2363" s="117" t="s">
        <v>429</v>
      </c>
      <c r="E2363" s="123" t="s">
        <v>372</v>
      </c>
      <c r="F2363" s="123" t="s">
        <v>368</v>
      </c>
      <c r="G2363" s="124">
        <v>0.01</v>
      </c>
      <c r="H2363" s="125">
        <f>VLOOKUP(D2363,Upah,8,FALSE)</f>
        <v>165000</v>
      </c>
      <c r="I2363" s="126">
        <f>G2363*H2363</f>
        <v>1650</v>
      </c>
    </row>
    <row r="2364" spans="2:10" ht="15.95" customHeight="1" thickBot="1" x14ac:dyDescent="0.3">
      <c r="C2364" s="122"/>
      <c r="D2364" s="117" t="s">
        <v>373</v>
      </c>
      <c r="E2364" s="123" t="s">
        <v>374</v>
      </c>
      <c r="F2364" s="123" t="s">
        <v>368</v>
      </c>
      <c r="G2364" s="124">
        <v>5.0000000000000001E-3</v>
      </c>
      <c r="H2364" s="125">
        <f>VLOOKUP(D2364,Upah,8,FALSE)</f>
        <v>170000</v>
      </c>
      <c r="I2364" s="126">
        <f>G2364*H2364</f>
        <v>850</v>
      </c>
    </row>
    <row r="2365" spans="2:10" ht="15.95" customHeight="1" thickBot="1" x14ac:dyDescent="0.3">
      <c r="C2365" s="132"/>
      <c r="D2365" s="133"/>
      <c r="E2365" s="134"/>
      <c r="F2365" s="134"/>
      <c r="G2365" s="135" t="s">
        <v>375</v>
      </c>
      <c r="H2365" s="136"/>
      <c r="I2365" s="137">
        <f>SUM(I2361:I2364)</f>
        <v>30000</v>
      </c>
    </row>
    <row r="2366" spans="2:10" ht="15.95" customHeight="1" x14ac:dyDescent="0.25">
      <c r="C2366" s="116" t="s">
        <v>376</v>
      </c>
      <c r="D2366" s="117" t="s">
        <v>377</v>
      </c>
      <c r="E2366" s="118"/>
      <c r="F2366" s="118"/>
      <c r="G2366" s="165"/>
      <c r="H2366" s="144"/>
      <c r="I2366" s="126"/>
    </row>
    <row r="2367" spans="2:10" ht="15.95" customHeight="1" x14ac:dyDescent="0.25">
      <c r="C2367" s="122"/>
      <c r="D2367" s="117" t="s">
        <v>783</v>
      </c>
      <c r="E2367" s="118"/>
      <c r="F2367" s="123" t="s">
        <v>82</v>
      </c>
      <c r="G2367" s="124">
        <v>1.1000000000000001</v>
      </c>
      <c r="H2367" s="144">
        <f>VLOOKUP(D2367,Bahan,6,FALSE)</f>
        <v>13560</v>
      </c>
      <c r="I2367" s="126">
        <f>G2367*H2367</f>
        <v>14916.000000000002</v>
      </c>
    </row>
    <row r="2368" spans="2:10" ht="15.95" customHeight="1" x14ac:dyDescent="0.25">
      <c r="C2368" s="122"/>
      <c r="D2368" s="117" t="s">
        <v>747</v>
      </c>
      <c r="E2368" s="118"/>
      <c r="F2368" s="123" t="s">
        <v>748</v>
      </c>
      <c r="G2368" s="124">
        <v>11.11</v>
      </c>
      <c r="H2368" s="144">
        <f>I2176</f>
        <v>59788</v>
      </c>
      <c r="I2368" s="126">
        <f>G2368*H2368</f>
        <v>664244.67999999993</v>
      </c>
    </row>
    <row r="2369" spans="2:10" ht="15.95" customHeight="1" thickBot="1" x14ac:dyDescent="0.3">
      <c r="C2369" s="122"/>
      <c r="D2369" s="117" t="s">
        <v>784</v>
      </c>
      <c r="E2369" s="118"/>
      <c r="F2369" s="123" t="s">
        <v>133</v>
      </c>
      <c r="G2369" s="124">
        <v>1.716</v>
      </c>
      <c r="H2369" s="144">
        <f>VLOOKUP(D2369,Bahan,6,FALSE)</f>
        <v>14630</v>
      </c>
      <c r="I2369" s="126">
        <f>G2369*H2369</f>
        <v>25105.079999999998</v>
      </c>
    </row>
    <row r="2370" spans="2:10" ht="15.95" customHeight="1" thickBot="1" x14ac:dyDescent="0.3">
      <c r="C2370" s="132"/>
      <c r="D2370" s="133"/>
      <c r="E2370" s="134"/>
      <c r="F2370" s="134"/>
      <c r="G2370" s="135" t="s">
        <v>386</v>
      </c>
      <c r="H2370" s="136"/>
      <c r="I2370" s="137">
        <f>SUM(I2367:I2369)</f>
        <v>704265.75999999989</v>
      </c>
    </row>
    <row r="2371" spans="2:10" ht="15.95" customHeight="1" thickBot="1" x14ac:dyDescent="0.3">
      <c r="C2371" s="116" t="s">
        <v>387</v>
      </c>
      <c r="D2371" s="117" t="s">
        <v>388</v>
      </c>
      <c r="E2371" s="118"/>
      <c r="F2371" s="118"/>
      <c r="G2371" s="165"/>
      <c r="H2371" s="144">
        <f>IF(AND(D2371&lt;&gt;"",F2371&lt;&gt;""),IF(C2371="",IF(F2371="OH",VLOOKUP(D2371,[1]UPAH!$B$3:$G$32,7,0),VLOOKUP(D2371,[1]BAHAN!$A$2:$D$3,4,0)),0),0)</f>
        <v>0</v>
      </c>
      <c r="I2371" s="126">
        <f>G2371*H2371</f>
        <v>0</v>
      </c>
    </row>
    <row r="2372" spans="2:10" ht="15.95" customHeight="1" thickBot="1" x14ac:dyDescent="0.3">
      <c r="C2372" s="132"/>
      <c r="D2372" s="133"/>
      <c r="E2372" s="134"/>
      <c r="F2372" s="134"/>
      <c r="G2372" s="135" t="s">
        <v>389</v>
      </c>
      <c r="H2372" s="136"/>
      <c r="I2372" s="137">
        <f>I2371</f>
        <v>0</v>
      </c>
    </row>
    <row r="2373" spans="2:10" ht="15.95" customHeight="1" x14ac:dyDescent="0.25">
      <c r="C2373" s="158" t="s">
        <v>390</v>
      </c>
      <c r="D2373" s="159" t="s">
        <v>391</v>
      </c>
      <c r="E2373" s="160"/>
      <c r="F2373" s="160"/>
      <c r="G2373" s="161"/>
      <c r="H2373" s="162">
        <f>IF(AND(D2373&lt;&gt;"",F2373&lt;&gt;""),IF(C2373="",IF(F2373="OH",VLOOKUP(D2373,[1]UPAH!$B$3:$G$32,7,0),VLOOKUP(D2373,[1]BAHAN!$A$2:$D$3,4,0)),0),0)</f>
        <v>0</v>
      </c>
      <c r="I2373" s="126">
        <f>SUM(I2360:I2372)/2</f>
        <v>734265.75999999989</v>
      </c>
    </row>
    <row r="2374" spans="2:10" ht="15.95" customHeight="1" thickBot="1" x14ac:dyDescent="0.3">
      <c r="C2374" s="147" t="s">
        <v>392</v>
      </c>
      <c r="D2374" s="148" t="s">
        <v>393</v>
      </c>
      <c r="E2374" s="149"/>
      <c r="F2374" s="149"/>
      <c r="G2374" s="164">
        <v>0.1</v>
      </c>
      <c r="H2374" s="151"/>
      <c r="I2374" s="146">
        <f>G2374*I2373</f>
        <v>73426.575999999986</v>
      </c>
    </row>
    <row r="2375" spans="2:10" ht="15.95" customHeight="1" thickBot="1" x14ac:dyDescent="0.3">
      <c r="C2375" s="111" t="s">
        <v>394</v>
      </c>
      <c r="D2375" s="112" t="s">
        <v>395</v>
      </c>
      <c r="E2375" s="134"/>
      <c r="F2375" s="134"/>
      <c r="G2375" s="156"/>
      <c r="H2375" s="136">
        <f>IF(AND(D2375&lt;&gt;"",F2375&lt;&gt;""),IF(C2375="",IF(F2375="OH",VLOOKUP(D2375,[1]UPAH!$B$3:$G$32,7,0),VLOOKUP(D2375,[1]BAHAN!$A$2:$D$3,4,0)),0),0)</f>
        <v>0</v>
      </c>
      <c r="I2375" s="137">
        <f>ROUNDDOWN(I2373+I2374,0)</f>
        <v>807692</v>
      </c>
    </row>
    <row r="2376" spans="2:10" ht="15.95" customHeight="1" x14ac:dyDescent="0.25">
      <c r="C2376" s="109"/>
      <c r="D2376" s="109"/>
      <c r="G2376" s="157"/>
    </row>
    <row r="2377" spans="2:10" ht="15.95" customHeight="1" thickBot="1" x14ac:dyDescent="0.3">
      <c r="B2377" s="109" t="s">
        <v>785</v>
      </c>
      <c r="C2377" s="104" t="s">
        <v>786</v>
      </c>
      <c r="G2377" s="157"/>
      <c r="J2377" s="110">
        <f>I2394</f>
        <v>247670</v>
      </c>
    </row>
    <row r="2378" spans="2:10" ht="15.95" customHeight="1" thickBot="1" x14ac:dyDescent="0.3">
      <c r="C2378" s="111" t="s">
        <v>328</v>
      </c>
      <c r="D2378" s="112" t="s">
        <v>359</v>
      </c>
      <c r="E2378" s="113" t="s">
        <v>360</v>
      </c>
      <c r="F2378" s="113" t="s">
        <v>330</v>
      </c>
      <c r="G2378" s="114" t="s">
        <v>361</v>
      </c>
      <c r="H2378" s="112" t="s">
        <v>362</v>
      </c>
      <c r="I2378" s="115" t="s">
        <v>363</v>
      </c>
    </row>
    <row r="2379" spans="2:10" ht="15.95" customHeight="1" x14ac:dyDescent="0.25">
      <c r="C2379" s="116" t="s">
        <v>364</v>
      </c>
      <c r="D2379" s="117" t="s">
        <v>365</v>
      </c>
      <c r="E2379" s="118"/>
      <c r="F2379" s="118"/>
      <c r="G2379" s="165"/>
      <c r="H2379" s="144"/>
      <c r="I2379" s="126"/>
    </row>
    <row r="2380" spans="2:10" ht="15.95" customHeight="1" x14ac:dyDescent="0.25">
      <c r="C2380" s="122"/>
      <c r="D2380" s="117" t="s">
        <v>366</v>
      </c>
      <c r="E2380" s="123" t="s">
        <v>367</v>
      </c>
      <c r="F2380" s="123" t="s">
        <v>368</v>
      </c>
      <c r="G2380" s="124">
        <v>0.2</v>
      </c>
      <c r="H2380" s="125">
        <f>VLOOKUP(D2380,Upah,8,FALSE)</f>
        <v>125000</v>
      </c>
      <c r="I2380" s="126">
        <f>G2380*H2380</f>
        <v>25000</v>
      </c>
    </row>
    <row r="2381" spans="2:10" ht="15.95" customHeight="1" x14ac:dyDescent="0.25">
      <c r="C2381" s="122"/>
      <c r="D2381" s="117" t="s">
        <v>455</v>
      </c>
      <c r="E2381" s="123" t="s">
        <v>456</v>
      </c>
      <c r="F2381" s="123" t="s">
        <v>368</v>
      </c>
      <c r="G2381" s="124">
        <v>0.2</v>
      </c>
      <c r="H2381" s="125">
        <f>VLOOKUP(D2381,Upah,8,FALSE)</f>
        <v>150000</v>
      </c>
      <c r="I2381" s="126">
        <f>G2381*H2381</f>
        <v>30000</v>
      </c>
    </row>
    <row r="2382" spans="2:10" ht="15.95" customHeight="1" x14ac:dyDescent="0.25">
      <c r="C2382" s="122"/>
      <c r="D2382" s="117" t="s">
        <v>429</v>
      </c>
      <c r="E2382" s="123" t="s">
        <v>372</v>
      </c>
      <c r="F2382" s="123" t="s">
        <v>368</v>
      </c>
      <c r="G2382" s="124">
        <v>0.02</v>
      </c>
      <c r="H2382" s="125">
        <f>VLOOKUP(D2382,Upah,8,FALSE)</f>
        <v>165000</v>
      </c>
      <c r="I2382" s="126">
        <f>G2382*H2382</f>
        <v>3300</v>
      </c>
    </row>
    <row r="2383" spans="2:10" ht="15.95" customHeight="1" thickBot="1" x14ac:dyDescent="0.3">
      <c r="C2383" s="122"/>
      <c r="D2383" s="117" t="s">
        <v>373</v>
      </c>
      <c r="E2383" s="123" t="s">
        <v>374</v>
      </c>
      <c r="F2383" s="123" t="s">
        <v>368</v>
      </c>
      <c r="G2383" s="124">
        <v>1E-3</v>
      </c>
      <c r="H2383" s="125">
        <f>VLOOKUP(D2383,Upah,8,FALSE)</f>
        <v>170000</v>
      </c>
      <c r="I2383" s="126">
        <f>G2383*H2383</f>
        <v>170</v>
      </c>
    </row>
    <row r="2384" spans="2:10" ht="15.95" customHeight="1" thickBot="1" x14ac:dyDescent="0.3">
      <c r="C2384" s="132"/>
      <c r="D2384" s="133"/>
      <c r="E2384" s="134"/>
      <c r="F2384" s="134"/>
      <c r="G2384" s="135" t="s">
        <v>375</v>
      </c>
      <c r="H2384" s="136"/>
      <c r="I2384" s="137">
        <f>SUM(I2380:I2383)</f>
        <v>58470</v>
      </c>
    </row>
    <row r="2385" spans="2:10" ht="15.95" customHeight="1" x14ac:dyDescent="0.25">
      <c r="C2385" s="116" t="s">
        <v>376</v>
      </c>
      <c r="D2385" s="117" t="s">
        <v>377</v>
      </c>
      <c r="E2385" s="118"/>
      <c r="F2385" s="118"/>
      <c r="G2385" s="165"/>
      <c r="H2385" s="144"/>
      <c r="I2385" s="126"/>
    </row>
    <row r="2386" spans="2:10" ht="15.95" customHeight="1" x14ac:dyDescent="0.25">
      <c r="C2386" s="122"/>
      <c r="D2386" s="117" t="s">
        <v>787</v>
      </c>
      <c r="E2386" s="118"/>
      <c r="F2386" s="123" t="s">
        <v>82</v>
      </c>
      <c r="G2386" s="124">
        <v>1.1000000000000001</v>
      </c>
      <c r="H2386" s="144">
        <f>VLOOKUP(D2386,Bahan,6,FALSE)</f>
        <v>64350</v>
      </c>
      <c r="I2386" s="126">
        <f>G2386*H2386</f>
        <v>70785</v>
      </c>
    </row>
    <row r="2387" spans="2:10" ht="15.95" customHeight="1" x14ac:dyDescent="0.25">
      <c r="C2387" s="122"/>
      <c r="D2387" s="117" t="s">
        <v>788</v>
      </c>
      <c r="E2387" s="118"/>
      <c r="F2387" s="123" t="s">
        <v>152</v>
      </c>
      <c r="G2387" s="124">
        <v>10</v>
      </c>
      <c r="H2387" s="144">
        <f>VLOOKUP(D2387,Bahan,6,FALSE)</f>
        <v>840</v>
      </c>
      <c r="I2387" s="126">
        <f>G2387*H2387</f>
        <v>8400</v>
      </c>
    </row>
    <row r="2388" spans="2:10" ht="15.95" customHeight="1" thickBot="1" x14ac:dyDescent="0.3">
      <c r="C2388" s="122"/>
      <c r="D2388" s="117" t="s">
        <v>415</v>
      </c>
      <c r="E2388" s="118"/>
      <c r="F2388" s="123" t="s">
        <v>127</v>
      </c>
      <c r="G2388" s="124">
        <v>7</v>
      </c>
      <c r="H2388" s="144">
        <f>VLOOKUP(D2388,Bahan,6,FALSE)</f>
        <v>12500</v>
      </c>
      <c r="I2388" s="126">
        <f>G2388*H2388</f>
        <v>87500</v>
      </c>
    </row>
    <row r="2389" spans="2:10" ht="15.95" customHeight="1" thickBot="1" x14ac:dyDescent="0.3">
      <c r="C2389" s="132"/>
      <c r="D2389" s="133"/>
      <c r="E2389" s="134"/>
      <c r="F2389" s="134"/>
      <c r="G2389" s="135" t="s">
        <v>386</v>
      </c>
      <c r="H2389" s="136"/>
      <c r="I2389" s="137">
        <f>SUM(I2386:I2388)</f>
        <v>166685</v>
      </c>
    </row>
    <row r="2390" spans="2:10" ht="15.95" customHeight="1" thickBot="1" x14ac:dyDescent="0.3">
      <c r="C2390" s="116" t="s">
        <v>387</v>
      </c>
      <c r="D2390" s="117" t="s">
        <v>388</v>
      </c>
      <c r="E2390" s="118"/>
      <c r="F2390" s="118"/>
      <c r="G2390" s="165"/>
      <c r="H2390" s="144">
        <f>IF(AND(D2390&lt;&gt;"",F2390&lt;&gt;""),IF(C2390="",IF(F2390="OH",VLOOKUP(D2390,[1]UPAH!$B$3:$G$32,7,0),VLOOKUP(D2390,[1]BAHAN!$A$2:$D$3,4,0)),0),0)</f>
        <v>0</v>
      </c>
      <c r="I2390" s="126">
        <f>G2390*H2390</f>
        <v>0</v>
      </c>
    </row>
    <row r="2391" spans="2:10" ht="15.95" customHeight="1" thickBot="1" x14ac:dyDescent="0.3">
      <c r="C2391" s="132"/>
      <c r="D2391" s="133"/>
      <c r="E2391" s="134"/>
      <c r="F2391" s="134"/>
      <c r="G2391" s="135" t="s">
        <v>389</v>
      </c>
      <c r="H2391" s="136"/>
      <c r="I2391" s="137">
        <f>I2390</f>
        <v>0</v>
      </c>
    </row>
    <row r="2392" spans="2:10" ht="15.95" customHeight="1" x14ac:dyDescent="0.25">
      <c r="C2392" s="158" t="s">
        <v>390</v>
      </c>
      <c r="D2392" s="159" t="s">
        <v>391</v>
      </c>
      <c r="E2392" s="160"/>
      <c r="F2392" s="160"/>
      <c r="G2392" s="161"/>
      <c r="H2392" s="162">
        <f>IF(AND(D2392&lt;&gt;"",F2392&lt;&gt;""),IF(C2392="",IF(F2392="OH",VLOOKUP(D2392,[1]UPAH!$B$3:$G$32,7,0),VLOOKUP(D2392,[1]BAHAN!$A$2:$D$3,4,0)),0),0)</f>
        <v>0</v>
      </c>
      <c r="I2392" s="126">
        <f>SUM(I2379:I2391)/2</f>
        <v>225155</v>
      </c>
    </row>
    <row r="2393" spans="2:10" ht="15.95" customHeight="1" thickBot="1" x14ac:dyDescent="0.3">
      <c r="C2393" s="147" t="s">
        <v>392</v>
      </c>
      <c r="D2393" s="148" t="s">
        <v>393</v>
      </c>
      <c r="E2393" s="149"/>
      <c r="F2393" s="149"/>
      <c r="G2393" s="164">
        <v>0.1</v>
      </c>
      <c r="H2393" s="151"/>
      <c r="I2393" s="146">
        <f>G2393*I2392</f>
        <v>22515.5</v>
      </c>
    </row>
    <row r="2394" spans="2:10" ht="15.95" customHeight="1" thickBot="1" x14ac:dyDescent="0.3">
      <c r="C2394" s="111" t="s">
        <v>394</v>
      </c>
      <c r="D2394" s="112" t="s">
        <v>395</v>
      </c>
      <c r="E2394" s="134"/>
      <c r="F2394" s="134"/>
      <c r="G2394" s="156"/>
      <c r="H2394" s="136">
        <f>IF(AND(D2394&lt;&gt;"",F2394&lt;&gt;""),IF(C2394="",IF(F2394="OH",VLOOKUP(D2394,[1]UPAH!$B$3:$G$32,7,0),VLOOKUP(D2394,[1]BAHAN!$A$2:$D$3,4,0)),0),0)</f>
        <v>0</v>
      </c>
      <c r="I2394" s="137">
        <f>ROUNDDOWN(I2392+I2393,0)</f>
        <v>247670</v>
      </c>
    </row>
    <row r="2395" spans="2:10" ht="15.95" customHeight="1" x14ac:dyDescent="0.25">
      <c r="C2395" s="109"/>
      <c r="D2395" s="109"/>
      <c r="G2395" s="157"/>
    </row>
    <row r="2396" spans="2:10" ht="15.95" customHeight="1" thickBot="1" x14ac:dyDescent="0.3">
      <c r="B2396" s="109" t="s">
        <v>789</v>
      </c>
      <c r="C2396" s="104" t="s">
        <v>790</v>
      </c>
      <c r="G2396" s="157"/>
      <c r="J2396" s="110">
        <f>I2413</f>
        <v>192868</v>
      </c>
    </row>
    <row r="2397" spans="2:10" ht="15.95" customHeight="1" thickBot="1" x14ac:dyDescent="0.3">
      <c r="C2397" s="111" t="s">
        <v>328</v>
      </c>
      <c r="D2397" s="112" t="s">
        <v>359</v>
      </c>
      <c r="E2397" s="113" t="s">
        <v>360</v>
      </c>
      <c r="F2397" s="113" t="s">
        <v>330</v>
      </c>
      <c r="G2397" s="114" t="s">
        <v>361</v>
      </c>
      <c r="H2397" s="112" t="s">
        <v>362</v>
      </c>
      <c r="I2397" s="115" t="s">
        <v>363</v>
      </c>
    </row>
    <row r="2398" spans="2:10" ht="15.95" customHeight="1" x14ac:dyDescent="0.25">
      <c r="C2398" s="116" t="s">
        <v>364</v>
      </c>
      <c r="D2398" s="117" t="s">
        <v>365</v>
      </c>
      <c r="E2398" s="118"/>
      <c r="F2398" s="118"/>
      <c r="G2398" s="165"/>
      <c r="H2398" s="144"/>
      <c r="I2398" s="126"/>
    </row>
    <row r="2399" spans="2:10" ht="15.95" customHeight="1" x14ac:dyDescent="0.25">
      <c r="C2399" s="122"/>
      <c r="D2399" s="117" t="s">
        <v>366</v>
      </c>
      <c r="E2399" s="123" t="s">
        <v>367</v>
      </c>
      <c r="F2399" s="123" t="s">
        <v>368</v>
      </c>
      <c r="G2399" s="124">
        <v>0.2</v>
      </c>
      <c r="H2399" s="125">
        <f>VLOOKUP(D2399,Upah,8,FALSE)</f>
        <v>125000</v>
      </c>
      <c r="I2399" s="126">
        <f>G2399*H2399</f>
        <v>25000</v>
      </c>
    </row>
    <row r="2400" spans="2:10" ht="15.95" customHeight="1" x14ac:dyDescent="0.25">
      <c r="C2400" s="122"/>
      <c r="D2400" s="117" t="s">
        <v>455</v>
      </c>
      <c r="E2400" s="123" t="s">
        <v>456</v>
      </c>
      <c r="F2400" s="123" t="s">
        <v>368</v>
      </c>
      <c r="G2400" s="124">
        <v>0.2</v>
      </c>
      <c r="H2400" s="125">
        <f>VLOOKUP(D2400,Upah,8,FALSE)</f>
        <v>150000</v>
      </c>
      <c r="I2400" s="126">
        <f>G2400*H2400</f>
        <v>30000</v>
      </c>
    </row>
    <row r="2401" spans="2:10" ht="15.95" customHeight="1" x14ac:dyDescent="0.25">
      <c r="C2401" s="122"/>
      <c r="D2401" s="117" t="s">
        <v>429</v>
      </c>
      <c r="E2401" s="123" t="s">
        <v>372</v>
      </c>
      <c r="F2401" s="123" t="s">
        <v>368</v>
      </c>
      <c r="G2401" s="124">
        <v>0.02</v>
      </c>
      <c r="H2401" s="125">
        <f>VLOOKUP(D2401,Upah,8,FALSE)</f>
        <v>165000</v>
      </c>
      <c r="I2401" s="126">
        <f>G2401*H2401</f>
        <v>3300</v>
      </c>
    </row>
    <row r="2402" spans="2:10" ht="15.95" customHeight="1" thickBot="1" x14ac:dyDescent="0.3">
      <c r="C2402" s="122"/>
      <c r="D2402" s="117" t="s">
        <v>373</v>
      </c>
      <c r="E2402" s="123" t="s">
        <v>374</v>
      </c>
      <c r="F2402" s="123" t="s">
        <v>368</v>
      </c>
      <c r="G2402" s="124">
        <v>1E-3</v>
      </c>
      <c r="H2402" s="125">
        <f>VLOOKUP(D2402,Upah,8,FALSE)</f>
        <v>170000</v>
      </c>
      <c r="I2402" s="126">
        <f>G2402*H2402</f>
        <v>170</v>
      </c>
    </row>
    <row r="2403" spans="2:10" ht="15.95" customHeight="1" thickBot="1" x14ac:dyDescent="0.3">
      <c r="C2403" s="132"/>
      <c r="D2403" s="133"/>
      <c r="E2403" s="134"/>
      <c r="F2403" s="134"/>
      <c r="G2403" s="135" t="s">
        <v>375</v>
      </c>
      <c r="H2403" s="136"/>
      <c r="I2403" s="137">
        <f>SUM(I2399:I2402)</f>
        <v>58470</v>
      </c>
    </row>
    <row r="2404" spans="2:10" ht="15.95" customHeight="1" x14ac:dyDescent="0.25">
      <c r="C2404" s="116" t="s">
        <v>376</v>
      </c>
      <c r="D2404" s="117" t="s">
        <v>377</v>
      </c>
      <c r="E2404" s="118"/>
      <c r="F2404" s="118"/>
      <c r="G2404" s="165"/>
      <c r="H2404" s="144"/>
      <c r="I2404" s="126"/>
    </row>
    <row r="2405" spans="2:10" ht="15.95" customHeight="1" x14ac:dyDescent="0.25">
      <c r="C2405" s="122"/>
      <c r="D2405" s="117" t="s">
        <v>419</v>
      </c>
      <c r="E2405" s="118"/>
      <c r="F2405" s="123" t="s">
        <v>127</v>
      </c>
      <c r="G2405" s="124">
        <v>1.05</v>
      </c>
      <c r="H2405" s="144">
        <f>VLOOKUP(D2405,Bahan,6,FALSE)</f>
        <v>33000</v>
      </c>
      <c r="I2405" s="126">
        <f>G2405*H2405</f>
        <v>34650</v>
      </c>
    </row>
    <row r="2406" spans="2:10" ht="15.95" customHeight="1" x14ac:dyDescent="0.25">
      <c r="C2406" s="122"/>
      <c r="D2406" s="117" t="s">
        <v>613</v>
      </c>
      <c r="E2406" s="118"/>
      <c r="F2406" s="123" t="s">
        <v>133</v>
      </c>
      <c r="G2406" s="124">
        <v>1.4999999999999999E-2</v>
      </c>
      <c r="H2406" s="144">
        <f>VLOOKUP(D2406,Bahan,6,FALSE)</f>
        <v>27970</v>
      </c>
      <c r="I2406" s="126">
        <f>G2406*H2406</f>
        <v>419.55</v>
      </c>
    </row>
    <row r="2407" spans="2:10" ht="15.95" customHeight="1" thickBot="1" x14ac:dyDescent="0.3">
      <c r="C2407" s="122"/>
      <c r="D2407" s="117" t="s">
        <v>791</v>
      </c>
      <c r="E2407" s="118"/>
      <c r="F2407" s="123" t="s">
        <v>158</v>
      </c>
      <c r="G2407" s="124">
        <v>1.9E-2</v>
      </c>
      <c r="H2407" s="144">
        <f>VLOOKUP(D2407,Bahan,6,FALSE)</f>
        <v>4305000</v>
      </c>
      <c r="I2407" s="126">
        <f>G2407*H2407</f>
        <v>81795</v>
      </c>
    </row>
    <row r="2408" spans="2:10" ht="15.95" customHeight="1" thickBot="1" x14ac:dyDescent="0.3">
      <c r="C2408" s="132"/>
      <c r="D2408" s="133"/>
      <c r="E2408" s="134"/>
      <c r="F2408" s="134"/>
      <c r="G2408" s="135" t="s">
        <v>386</v>
      </c>
      <c r="H2408" s="136"/>
      <c r="I2408" s="137">
        <f>SUM(I2405:I2407)</f>
        <v>116864.55</v>
      </c>
    </row>
    <row r="2409" spans="2:10" ht="15.95" customHeight="1" thickBot="1" x14ac:dyDescent="0.3">
      <c r="C2409" s="116" t="s">
        <v>387</v>
      </c>
      <c r="D2409" s="117" t="s">
        <v>388</v>
      </c>
      <c r="E2409" s="118"/>
      <c r="F2409" s="118"/>
      <c r="G2409" s="165"/>
      <c r="H2409" s="144">
        <f>IF(AND(D2409&lt;&gt;"",F2409&lt;&gt;""),IF(C2409="",IF(F2409="OH",VLOOKUP(D2409,[1]UPAH!$B$3:$G$32,7,0),VLOOKUP(D2409,[1]BAHAN!$A$2:$D$3,4,0)),0),0)</f>
        <v>0</v>
      </c>
      <c r="I2409" s="126">
        <f>G2409*H2409</f>
        <v>0</v>
      </c>
    </row>
    <row r="2410" spans="2:10" ht="15.95" customHeight="1" thickBot="1" x14ac:dyDescent="0.3">
      <c r="C2410" s="132"/>
      <c r="D2410" s="133"/>
      <c r="E2410" s="134"/>
      <c r="F2410" s="134"/>
      <c r="G2410" s="135" t="s">
        <v>389</v>
      </c>
      <c r="H2410" s="136"/>
      <c r="I2410" s="137">
        <f>I2409</f>
        <v>0</v>
      </c>
    </row>
    <row r="2411" spans="2:10" ht="15.95" customHeight="1" x14ac:dyDescent="0.25">
      <c r="C2411" s="158" t="s">
        <v>390</v>
      </c>
      <c r="D2411" s="159" t="s">
        <v>391</v>
      </c>
      <c r="E2411" s="160"/>
      <c r="F2411" s="160"/>
      <c r="G2411" s="161"/>
      <c r="H2411" s="162">
        <f>IF(AND(D2411&lt;&gt;"",F2411&lt;&gt;""),IF(C2411="",IF(F2411="OH",VLOOKUP(D2411,[1]UPAH!$B$3:$G$32,7,0),VLOOKUP(D2411,[1]BAHAN!$A$2:$D$3,4,0)),0),0)</f>
        <v>0</v>
      </c>
      <c r="I2411" s="126">
        <f>SUM(I2398:I2410)/2</f>
        <v>175334.55</v>
      </c>
    </row>
    <row r="2412" spans="2:10" ht="15.95" customHeight="1" thickBot="1" x14ac:dyDescent="0.3">
      <c r="C2412" s="147" t="s">
        <v>392</v>
      </c>
      <c r="D2412" s="148" t="s">
        <v>393</v>
      </c>
      <c r="E2412" s="149"/>
      <c r="F2412" s="149"/>
      <c r="G2412" s="164">
        <v>0.1</v>
      </c>
      <c r="H2412" s="151"/>
      <c r="I2412" s="146">
        <f>G2412*I2411</f>
        <v>17533.454999999998</v>
      </c>
    </row>
    <row r="2413" spans="2:10" ht="15.95" customHeight="1" thickBot="1" x14ac:dyDescent="0.3">
      <c r="C2413" s="111" t="s">
        <v>394</v>
      </c>
      <c r="D2413" s="112" t="s">
        <v>395</v>
      </c>
      <c r="E2413" s="134"/>
      <c r="F2413" s="134"/>
      <c r="G2413" s="156"/>
      <c r="H2413" s="136">
        <f>IF(AND(D2413&lt;&gt;"",F2413&lt;&gt;""),IF(C2413="",IF(F2413="OH",VLOOKUP(D2413,[1]UPAH!$B$3:$G$32,7,0),VLOOKUP(D2413,[1]BAHAN!$A$2:$D$3,4,0)),0),0)</f>
        <v>0</v>
      </c>
      <c r="I2413" s="137">
        <f>ROUNDDOWN(I2411+I2412,0)</f>
        <v>192868</v>
      </c>
    </row>
    <row r="2414" spans="2:10" ht="15.95" customHeight="1" x14ac:dyDescent="0.25">
      <c r="C2414" s="109"/>
      <c r="D2414" s="109"/>
      <c r="G2414" s="157"/>
    </row>
    <row r="2415" spans="2:10" ht="15.95" customHeight="1" thickBot="1" x14ac:dyDescent="0.3">
      <c r="B2415" s="109" t="s">
        <v>792</v>
      </c>
      <c r="C2415" s="109" t="s">
        <v>793</v>
      </c>
      <c r="G2415" s="157"/>
      <c r="J2415" s="110">
        <f>I2432</f>
        <v>122363</v>
      </c>
    </row>
    <row r="2416" spans="2:10" ht="15.95" customHeight="1" thickBot="1" x14ac:dyDescent="0.3">
      <c r="C2416" s="111" t="s">
        <v>328</v>
      </c>
      <c r="D2416" s="112" t="s">
        <v>359</v>
      </c>
      <c r="E2416" s="113" t="s">
        <v>360</v>
      </c>
      <c r="F2416" s="113" t="s">
        <v>330</v>
      </c>
      <c r="G2416" s="114" t="s">
        <v>361</v>
      </c>
      <c r="H2416" s="112" t="s">
        <v>362</v>
      </c>
      <c r="I2416" s="115" t="s">
        <v>363</v>
      </c>
    </row>
    <row r="2417" spans="3:9" ht="15.95" customHeight="1" x14ac:dyDescent="0.25">
      <c r="C2417" s="116" t="s">
        <v>364</v>
      </c>
      <c r="D2417" s="117" t="s">
        <v>365</v>
      </c>
      <c r="E2417" s="118"/>
      <c r="F2417" s="118"/>
      <c r="G2417" s="165"/>
      <c r="H2417" s="144"/>
      <c r="I2417" s="126"/>
    </row>
    <row r="2418" spans="3:9" ht="15.95" customHeight="1" x14ac:dyDescent="0.25">
      <c r="C2418" s="122"/>
      <c r="D2418" s="117" t="s">
        <v>366</v>
      </c>
      <c r="E2418" s="123" t="s">
        <v>367</v>
      </c>
      <c r="F2418" s="123" t="s">
        <v>368</v>
      </c>
      <c r="G2418" s="124">
        <v>0.15</v>
      </c>
      <c r="H2418" s="125">
        <f>VLOOKUP(D2418,Upah,8,FALSE)</f>
        <v>125000</v>
      </c>
      <c r="I2418" s="126">
        <f>G2418*H2418</f>
        <v>18750</v>
      </c>
    </row>
    <row r="2419" spans="3:9" ht="15.95" customHeight="1" x14ac:dyDescent="0.25">
      <c r="C2419" s="122"/>
      <c r="D2419" s="117" t="s">
        <v>455</v>
      </c>
      <c r="E2419" s="123" t="s">
        <v>456</v>
      </c>
      <c r="F2419" s="123" t="s">
        <v>368</v>
      </c>
      <c r="G2419" s="124">
        <v>0.3</v>
      </c>
      <c r="H2419" s="125">
        <f>VLOOKUP(D2419,Upah,8,FALSE)</f>
        <v>150000</v>
      </c>
      <c r="I2419" s="126">
        <f>G2419*H2419</f>
        <v>45000</v>
      </c>
    </row>
    <row r="2420" spans="3:9" ht="15.95" customHeight="1" x14ac:dyDescent="0.25">
      <c r="C2420" s="122"/>
      <c r="D2420" s="117" t="s">
        <v>429</v>
      </c>
      <c r="E2420" s="123" t="s">
        <v>372</v>
      </c>
      <c r="F2420" s="123" t="s">
        <v>368</v>
      </c>
      <c r="G2420" s="124">
        <v>0.03</v>
      </c>
      <c r="H2420" s="125">
        <f>VLOOKUP(D2420,Upah,8,FALSE)</f>
        <v>165000</v>
      </c>
      <c r="I2420" s="126">
        <f>G2420*H2420</f>
        <v>4950</v>
      </c>
    </row>
    <row r="2421" spans="3:9" ht="15.95" customHeight="1" thickBot="1" x14ac:dyDescent="0.3">
      <c r="C2421" s="122"/>
      <c r="D2421" s="117" t="s">
        <v>373</v>
      </c>
      <c r="E2421" s="123" t="s">
        <v>374</v>
      </c>
      <c r="F2421" s="123" t="s">
        <v>368</v>
      </c>
      <c r="G2421" s="124">
        <v>8.0000000000000002E-3</v>
      </c>
      <c r="H2421" s="125">
        <f>VLOOKUP(D2421,Upah,8,FALSE)</f>
        <v>170000</v>
      </c>
      <c r="I2421" s="126">
        <f>G2421*H2421</f>
        <v>1360</v>
      </c>
    </row>
    <row r="2422" spans="3:9" ht="15.95" customHeight="1" thickBot="1" x14ac:dyDescent="0.3">
      <c r="C2422" s="132"/>
      <c r="D2422" s="133"/>
      <c r="E2422" s="134"/>
      <c r="F2422" s="134"/>
      <c r="G2422" s="135" t="s">
        <v>375</v>
      </c>
      <c r="H2422" s="136"/>
      <c r="I2422" s="137">
        <f>SUM(I2418:I2421)</f>
        <v>70060</v>
      </c>
    </row>
    <row r="2423" spans="3:9" ht="15.95" customHeight="1" x14ac:dyDescent="0.25">
      <c r="C2423" s="116" t="s">
        <v>376</v>
      </c>
      <c r="D2423" s="117" t="s">
        <v>377</v>
      </c>
      <c r="E2423" s="118"/>
      <c r="F2423" s="118"/>
      <c r="G2423" s="165"/>
      <c r="H2423" s="144"/>
      <c r="I2423" s="126"/>
    </row>
    <row r="2424" spans="3:9" ht="15.95" customHeight="1" x14ac:dyDescent="0.25">
      <c r="C2424" s="122"/>
      <c r="D2424" s="117" t="s">
        <v>419</v>
      </c>
      <c r="E2424" s="118"/>
      <c r="F2424" s="123" t="s">
        <v>127</v>
      </c>
      <c r="G2424" s="124">
        <v>1.05</v>
      </c>
      <c r="H2424" s="144">
        <f>VLOOKUP(D2424,Bahan,6,FALSE)</f>
        <v>33000</v>
      </c>
      <c r="I2424" s="126">
        <f>G2424*H2424</f>
        <v>34650</v>
      </c>
    </row>
    <row r="2425" spans="3:9" ht="15.95" customHeight="1" x14ac:dyDescent="0.25">
      <c r="C2425" s="122"/>
      <c r="D2425" s="117" t="s">
        <v>613</v>
      </c>
      <c r="E2425" s="118"/>
      <c r="F2425" s="123" t="s">
        <v>133</v>
      </c>
      <c r="G2425" s="124">
        <v>0.01</v>
      </c>
      <c r="H2425" s="144">
        <f>VLOOKUP(D2425,Bahan,6,FALSE)</f>
        <v>27970</v>
      </c>
      <c r="I2425" s="126">
        <f>G2425*H2425</f>
        <v>279.7</v>
      </c>
    </row>
    <row r="2426" spans="3:9" ht="15.95" customHeight="1" thickBot="1" x14ac:dyDescent="0.3">
      <c r="C2426" s="122"/>
      <c r="D2426" s="117" t="s">
        <v>415</v>
      </c>
      <c r="E2426" s="118"/>
      <c r="F2426" s="123" t="s">
        <v>133</v>
      </c>
      <c r="G2426" s="124">
        <v>0.5</v>
      </c>
      <c r="H2426" s="144">
        <f>VLOOKUP(D2426,Bahan,6,FALSE)</f>
        <v>12500</v>
      </c>
      <c r="I2426" s="126">
        <f>G2426*H2426</f>
        <v>6250</v>
      </c>
    </row>
    <row r="2427" spans="3:9" ht="15.95" customHeight="1" thickBot="1" x14ac:dyDescent="0.3">
      <c r="C2427" s="132"/>
      <c r="D2427" s="133"/>
      <c r="E2427" s="134"/>
      <c r="F2427" s="134"/>
      <c r="G2427" s="135" t="s">
        <v>386</v>
      </c>
      <c r="H2427" s="136"/>
      <c r="I2427" s="137">
        <f>SUM(I2424:I2426)</f>
        <v>41179.699999999997</v>
      </c>
    </row>
    <row r="2428" spans="3:9" ht="15.95" customHeight="1" thickBot="1" x14ac:dyDescent="0.3">
      <c r="C2428" s="116" t="s">
        <v>387</v>
      </c>
      <c r="D2428" s="117" t="s">
        <v>388</v>
      </c>
      <c r="E2428" s="118"/>
      <c r="F2428" s="118"/>
      <c r="G2428" s="165"/>
      <c r="H2428" s="144">
        <f>IF(AND(D2428&lt;&gt;"",F2428&lt;&gt;""),IF(C2428="",IF(F2428="OH",VLOOKUP(D2428,[1]UPAH!$B$3:$G$32,7,0),VLOOKUP(D2428,[1]BAHAN!$A$2:$D$3,4,0)),0),0)</f>
        <v>0</v>
      </c>
      <c r="I2428" s="126">
        <f>G2428*H2428</f>
        <v>0</v>
      </c>
    </row>
    <row r="2429" spans="3:9" ht="15.95" customHeight="1" thickBot="1" x14ac:dyDescent="0.3">
      <c r="C2429" s="132"/>
      <c r="D2429" s="133"/>
      <c r="E2429" s="134"/>
      <c r="F2429" s="134"/>
      <c r="G2429" s="135" t="s">
        <v>389</v>
      </c>
      <c r="H2429" s="136"/>
      <c r="I2429" s="137">
        <f>I2428</f>
        <v>0</v>
      </c>
    </row>
    <row r="2430" spans="3:9" ht="15.95" customHeight="1" x14ac:dyDescent="0.25">
      <c r="C2430" s="158" t="s">
        <v>390</v>
      </c>
      <c r="D2430" s="159" t="s">
        <v>391</v>
      </c>
      <c r="E2430" s="160"/>
      <c r="F2430" s="160"/>
      <c r="G2430" s="161"/>
      <c r="H2430" s="162">
        <f>IF(AND(D2430&lt;&gt;"",F2430&lt;&gt;""),IF(C2430="",IF(F2430="OH",VLOOKUP(D2430,[1]UPAH!$B$3:$G$32,7,0),VLOOKUP(D2430,[1]BAHAN!$A$2:$D$3,4,0)),0),0)</f>
        <v>0</v>
      </c>
      <c r="I2430" s="126">
        <f>SUM(I2417:I2429)/2</f>
        <v>111239.70000000001</v>
      </c>
    </row>
    <row r="2431" spans="3:9" ht="15.95" customHeight="1" thickBot="1" x14ac:dyDescent="0.3">
      <c r="C2431" s="147" t="s">
        <v>392</v>
      </c>
      <c r="D2431" s="148" t="s">
        <v>393</v>
      </c>
      <c r="E2431" s="149"/>
      <c r="F2431" s="149"/>
      <c r="G2431" s="164">
        <v>0.1</v>
      </c>
      <c r="H2431" s="151"/>
      <c r="I2431" s="146">
        <f>G2431*I2430</f>
        <v>11123.970000000001</v>
      </c>
    </row>
    <row r="2432" spans="3:9" ht="15.95" customHeight="1" thickBot="1" x14ac:dyDescent="0.3">
      <c r="C2432" s="111" t="s">
        <v>394</v>
      </c>
      <c r="D2432" s="112" t="s">
        <v>395</v>
      </c>
      <c r="E2432" s="134"/>
      <c r="F2432" s="134"/>
      <c r="G2432" s="156"/>
      <c r="H2432" s="136">
        <f>IF(AND(D2432&lt;&gt;"",F2432&lt;&gt;""),IF(C2432="",IF(F2432="OH",VLOOKUP(D2432,[1]UPAH!$B$3:$G$32,7,0),VLOOKUP(D2432,[1]BAHAN!$A$2:$D$3,4,0)),0),0)</f>
        <v>0</v>
      </c>
      <c r="I2432" s="137">
        <f>ROUNDDOWN(I2430+I2431,0)</f>
        <v>122363</v>
      </c>
    </row>
    <row r="2433" spans="2:10" ht="15.95" customHeight="1" x14ac:dyDescent="0.25">
      <c r="C2433" s="109"/>
      <c r="D2433" s="109"/>
      <c r="G2433" s="157"/>
    </row>
    <row r="2434" spans="2:10" ht="15.95" customHeight="1" thickBot="1" x14ac:dyDescent="0.3">
      <c r="B2434" s="109" t="s">
        <v>794</v>
      </c>
      <c r="C2434" s="104" t="s">
        <v>795</v>
      </c>
      <c r="F2434" s="170"/>
      <c r="G2434" s="157"/>
      <c r="J2434" s="110">
        <f>I2450</f>
        <v>358968</v>
      </c>
    </row>
    <row r="2435" spans="2:10" ht="15.95" customHeight="1" thickBot="1" x14ac:dyDescent="0.3">
      <c r="C2435" s="111" t="s">
        <v>328</v>
      </c>
      <c r="D2435" s="112" t="s">
        <v>359</v>
      </c>
      <c r="E2435" s="113" t="s">
        <v>360</v>
      </c>
      <c r="F2435" s="113" t="s">
        <v>330</v>
      </c>
      <c r="G2435" s="114" t="s">
        <v>361</v>
      </c>
      <c r="H2435" s="112" t="s">
        <v>362</v>
      </c>
      <c r="I2435" s="115" t="s">
        <v>363</v>
      </c>
    </row>
    <row r="2436" spans="2:10" ht="15.95" customHeight="1" x14ac:dyDescent="0.25">
      <c r="C2436" s="116" t="s">
        <v>364</v>
      </c>
      <c r="D2436" s="117" t="s">
        <v>365</v>
      </c>
      <c r="E2436" s="118"/>
      <c r="F2436" s="118"/>
      <c r="G2436" s="165"/>
      <c r="H2436" s="144"/>
      <c r="I2436" s="126"/>
    </row>
    <row r="2437" spans="2:10" ht="15.95" customHeight="1" x14ac:dyDescent="0.25">
      <c r="C2437" s="122"/>
      <c r="D2437" s="117" t="s">
        <v>366</v>
      </c>
      <c r="E2437" s="123" t="s">
        <v>367</v>
      </c>
      <c r="F2437" s="123" t="s">
        <v>368</v>
      </c>
      <c r="G2437" s="124">
        <v>0.25</v>
      </c>
      <c r="H2437" s="125">
        <f>VLOOKUP(D2437,Upah,8,FALSE)</f>
        <v>125000</v>
      </c>
      <c r="I2437" s="126">
        <f>G2437*H2437</f>
        <v>31250</v>
      </c>
    </row>
    <row r="2438" spans="2:10" ht="15.95" customHeight="1" x14ac:dyDescent="0.25">
      <c r="C2438" s="122"/>
      <c r="D2438" s="117" t="s">
        <v>577</v>
      </c>
      <c r="E2438" s="123" t="s">
        <v>578</v>
      </c>
      <c r="F2438" s="123" t="s">
        <v>368</v>
      </c>
      <c r="G2438" s="124">
        <v>0.25</v>
      </c>
      <c r="H2438" s="125">
        <f>VLOOKUP(D2438,Upah,8,FALSE)</f>
        <v>150000</v>
      </c>
      <c r="I2438" s="126">
        <f>G2438*H2438</f>
        <v>37500</v>
      </c>
    </row>
    <row r="2439" spans="2:10" ht="15.95" customHeight="1" x14ac:dyDescent="0.25">
      <c r="C2439" s="122"/>
      <c r="D2439" s="117" t="s">
        <v>371</v>
      </c>
      <c r="E2439" s="123" t="s">
        <v>372</v>
      </c>
      <c r="F2439" s="123" t="s">
        <v>368</v>
      </c>
      <c r="G2439" s="124">
        <v>2.5000000000000001E-2</v>
      </c>
      <c r="H2439" s="125">
        <f>VLOOKUP(D2439,Upah,8,FALSE)</f>
        <v>165000</v>
      </c>
      <c r="I2439" s="126">
        <f>G2439*H2439</f>
        <v>4125</v>
      </c>
    </row>
    <row r="2440" spans="2:10" ht="15.95" customHeight="1" thickBot="1" x14ac:dyDescent="0.3">
      <c r="C2440" s="122"/>
      <c r="D2440" s="117" t="s">
        <v>373</v>
      </c>
      <c r="E2440" s="123" t="s">
        <v>374</v>
      </c>
      <c r="F2440" s="123" t="s">
        <v>368</v>
      </c>
      <c r="G2440" s="124">
        <v>1.2999999999999999E-2</v>
      </c>
      <c r="H2440" s="125">
        <f>VLOOKUP(D2440,Upah,8,FALSE)</f>
        <v>170000</v>
      </c>
      <c r="I2440" s="126">
        <f>G2440*H2440</f>
        <v>2210</v>
      </c>
    </row>
    <row r="2441" spans="2:10" ht="15.95" customHeight="1" thickBot="1" x14ac:dyDescent="0.3">
      <c r="C2441" s="132"/>
      <c r="D2441" s="133"/>
      <c r="E2441" s="134"/>
      <c r="F2441" s="134"/>
      <c r="G2441" s="135" t="s">
        <v>375</v>
      </c>
      <c r="H2441" s="136"/>
      <c r="I2441" s="137">
        <f>SUM(I2437:I2440)</f>
        <v>75085</v>
      </c>
    </row>
    <row r="2442" spans="2:10" ht="15.95" customHeight="1" x14ac:dyDescent="0.25">
      <c r="C2442" s="116" t="s">
        <v>376</v>
      </c>
      <c r="D2442" s="117" t="s">
        <v>377</v>
      </c>
      <c r="E2442" s="118"/>
      <c r="F2442" s="118"/>
      <c r="G2442" s="165"/>
      <c r="H2442" s="144"/>
      <c r="I2442" s="126"/>
    </row>
    <row r="2443" spans="2:10" ht="15.95" customHeight="1" x14ac:dyDescent="0.25">
      <c r="C2443" s="122"/>
      <c r="D2443" s="117" t="s">
        <v>796</v>
      </c>
      <c r="E2443" s="118"/>
      <c r="F2443" s="123" t="s">
        <v>797</v>
      </c>
      <c r="G2443" s="124">
        <v>3.5</v>
      </c>
      <c r="H2443" s="144">
        <f>VLOOKUP(D2443,Bahan,6,FALSE)</f>
        <v>57500</v>
      </c>
      <c r="I2443" s="126">
        <f>G2443*H2443</f>
        <v>201250</v>
      </c>
    </row>
    <row r="2444" spans="2:10" ht="15.95" customHeight="1" thickBot="1" x14ac:dyDescent="0.3">
      <c r="C2444" s="122"/>
      <c r="D2444" s="117" t="s">
        <v>798</v>
      </c>
      <c r="E2444" s="118"/>
      <c r="F2444" s="123" t="s">
        <v>799</v>
      </c>
      <c r="G2444" s="124">
        <v>1</v>
      </c>
      <c r="H2444" s="144">
        <f>VLOOKUP(D2444,Bahan,6,FALSE)</f>
        <v>50000</v>
      </c>
      <c r="I2444" s="126">
        <f>G2444*H2444</f>
        <v>50000</v>
      </c>
    </row>
    <row r="2445" spans="2:10" ht="15.95" customHeight="1" thickBot="1" x14ac:dyDescent="0.3">
      <c r="C2445" s="132"/>
      <c r="D2445" s="133"/>
      <c r="E2445" s="134"/>
      <c r="F2445" s="134"/>
      <c r="G2445" s="135" t="s">
        <v>386</v>
      </c>
      <c r="H2445" s="136"/>
      <c r="I2445" s="137">
        <f>SUM(I2442:I2444)</f>
        <v>251250</v>
      </c>
    </row>
    <row r="2446" spans="2:10" ht="15.95" customHeight="1" thickBot="1" x14ac:dyDescent="0.3">
      <c r="C2446" s="116" t="s">
        <v>387</v>
      </c>
      <c r="D2446" s="117" t="s">
        <v>388</v>
      </c>
      <c r="E2446" s="118"/>
      <c r="F2446" s="118"/>
      <c r="G2446" s="165"/>
      <c r="H2446" s="144">
        <f>IF(AND(D2446&lt;&gt;"",F2446&lt;&gt;""),IF(C2446="",IF(F2446="OH",VLOOKUP(D2446,[1]UPAH!$B$3:$G$32,7,0),VLOOKUP(D2446,[1]BAHAN!$A$2:$D$3,4,0)),0),0)</f>
        <v>0</v>
      </c>
      <c r="I2446" s="126">
        <f>G2446*H2446</f>
        <v>0</v>
      </c>
    </row>
    <row r="2447" spans="2:10" ht="15.95" customHeight="1" thickBot="1" x14ac:dyDescent="0.3">
      <c r="C2447" s="132"/>
      <c r="D2447" s="133"/>
      <c r="E2447" s="134"/>
      <c r="F2447" s="134"/>
      <c r="G2447" s="135" t="s">
        <v>389</v>
      </c>
      <c r="H2447" s="136"/>
      <c r="I2447" s="137">
        <f>I2446</f>
        <v>0</v>
      </c>
    </row>
    <row r="2448" spans="2:10" ht="15.95" customHeight="1" x14ac:dyDescent="0.25">
      <c r="C2448" s="158" t="s">
        <v>390</v>
      </c>
      <c r="D2448" s="159" t="s">
        <v>391</v>
      </c>
      <c r="E2448" s="160"/>
      <c r="F2448" s="160"/>
      <c r="G2448" s="161"/>
      <c r="H2448" s="162">
        <f>IF(AND(D2448&lt;&gt;"",F2448&lt;&gt;""),IF(C2448="",IF(F2448="OH",VLOOKUP(D2448,[1]UPAH!$B$3:$G$32,7,0),VLOOKUP(D2448,[1]BAHAN!$A$2:$D$3,4,0)),0),0)</f>
        <v>0</v>
      </c>
      <c r="I2448" s="126">
        <f>SUM(I2435:I2447)/2</f>
        <v>326335</v>
      </c>
    </row>
    <row r="2449" spans="1:10" ht="15.95" customHeight="1" thickBot="1" x14ac:dyDescent="0.3">
      <c r="C2449" s="147" t="s">
        <v>392</v>
      </c>
      <c r="D2449" s="148" t="s">
        <v>393</v>
      </c>
      <c r="E2449" s="149"/>
      <c r="F2449" s="149"/>
      <c r="G2449" s="164">
        <v>0.1</v>
      </c>
      <c r="H2449" s="151"/>
      <c r="I2449" s="146">
        <f>G2449*I2448</f>
        <v>32633.5</v>
      </c>
    </row>
    <row r="2450" spans="1:10" ht="15.95" customHeight="1" thickBot="1" x14ac:dyDescent="0.3">
      <c r="C2450" s="111" t="s">
        <v>394</v>
      </c>
      <c r="D2450" s="112" t="s">
        <v>395</v>
      </c>
      <c r="E2450" s="134"/>
      <c r="F2450" s="134"/>
      <c r="G2450" s="156"/>
      <c r="H2450" s="136">
        <f>IF(AND(D2450&lt;&gt;"",F2450&lt;&gt;""),IF(C2450="",IF(F2450="OH",VLOOKUP(D2450,[1]UPAH!$B$3:$G$32,7,0),VLOOKUP(D2450,[1]BAHAN!$A$2:$D$3,4,0)),0),0)</f>
        <v>0</v>
      </c>
      <c r="I2450" s="137">
        <f>ROUNDDOWN(I2448+I2449,0)</f>
        <v>358968</v>
      </c>
    </row>
    <row r="2451" spans="1:10" ht="15.95" customHeight="1" x14ac:dyDescent="0.25">
      <c r="C2451" s="109"/>
      <c r="D2451" s="109"/>
      <c r="G2451" s="157"/>
    </row>
    <row r="2452" spans="1:10" ht="15.95" customHeight="1" thickBot="1" x14ac:dyDescent="0.3">
      <c r="A2452" s="246"/>
      <c r="B2452" s="247" t="s">
        <v>800</v>
      </c>
      <c r="C2452" s="171" t="s">
        <v>801</v>
      </c>
      <c r="D2452" s="171"/>
      <c r="E2452" s="354"/>
      <c r="F2452" s="354"/>
      <c r="G2452" s="157"/>
      <c r="J2452" s="110">
        <f>I2468</f>
        <v>423593</v>
      </c>
    </row>
    <row r="2453" spans="1:10" ht="15.95" customHeight="1" thickBot="1" x14ac:dyDescent="0.3">
      <c r="C2453" s="111" t="s">
        <v>328</v>
      </c>
      <c r="D2453" s="112" t="s">
        <v>359</v>
      </c>
      <c r="E2453" s="113" t="s">
        <v>360</v>
      </c>
      <c r="F2453" s="113" t="s">
        <v>330</v>
      </c>
      <c r="G2453" s="114" t="s">
        <v>361</v>
      </c>
      <c r="H2453" s="112" t="s">
        <v>362</v>
      </c>
      <c r="I2453" s="115" t="s">
        <v>363</v>
      </c>
    </row>
    <row r="2454" spans="1:10" ht="15.95" customHeight="1" x14ac:dyDescent="0.25">
      <c r="C2454" s="116" t="s">
        <v>364</v>
      </c>
      <c r="D2454" s="117" t="s">
        <v>365</v>
      </c>
      <c r="E2454" s="118"/>
      <c r="F2454" s="118"/>
      <c r="G2454" s="165"/>
      <c r="H2454" s="144"/>
      <c r="I2454" s="126"/>
    </row>
    <row r="2455" spans="1:10" ht="15.95" customHeight="1" x14ac:dyDescent="0.25">
      <c r="C2455" s="122"/>
      <c r="D2455" s="117" t="s">
        <v>366</v>
      </c>
      <c r="E2455" s="123" t="s">
        <v>367</v>
      </c>
      <c r="F2455" s="123" t="s">
        <v>368</v>
      </c>
      <c r="G2455" s="124">
        <v>0.35</v>
      </c>
      <c r="H2455" s="125">
        <f>VLOOKUP(D2455,Upah,8,FALSE)</f>
        <v>125000</v>
      </c>
      <c r="I2455" s="126">
        <f>G2455*H2455</f>
        <v>43750</v>
      </c>
    </row>
    <row r="2456" spans="1:10" ht="15.95" customHeight="1" x14ac:dyDescent="0.25">
      <c r="C2456" s="122"/>
      <c r="D2456" s="117" t="s">
        <v>577</v>
      </c>
      <c r="E2456" s="123" t="s">
        <v>578</v>
      </c>
      <c r="F2456" s="123" t="s">
        <v>368</v>
      </c>
      <c r="G2456" s="124">
        <v>0.35</v>
      </c>
      <c r="H2456" s="125">
        <f>VLOOKUP(D2456,Upah,8,FALSE)</f>
        <v>150000</v>
      </c>
      <c r="I2456" s="126">
        <f>G2456*H2456</f>
        <v>52500</v>
      </c>
    </row>
    <row r="2457" spans="1:10" ht="15.95" customHeight="1" x14ac:dyDescent="0.25">
      <c r="C2457" s="122"/>
      <c r="D2457" s="117" t="s">
        <v>371</v>
      </c>
      <c r="E2457" s="123" t="s">
        <v>372</v>
      </c>
      <c r="F2457" s="123" t="s">
        <v>368</v>
      </c>
      <c r="G2457" s="124">
        <v>3.5000000000000003E-2</v>
      </c>
      <c r="H2457" s="125">
        <f>VLOOKUP(D2457,Upah,8,FALSE)</f>
        <v>165000</v>
      </c>
      <c r="I2457" s="126">
        <f>G2457*H2457</f>
        <v>5775.0000000000009</v>
      </c>
    </row>
    <row r="2458" spans="1:10" ht="15.95" customHeight="1" thickBot="1" x14ac:dyDescent="0.3">
      <c r="C2458" s="122"/>
      <c r="D2458" s="117" t="s">
        <v>373</v>
      </c>
      <c r="E2458" s="123" t="s">
        <v>374</v>
      </c>
      <c r="F2458" s="123" t="s">
        <v>368</v>
      </c>
      <c r="G2458" s="124">
        <v>1.7999999999999999E-2</v>
      </c>
      <c r="H2458" s="125">
        <f>VLOOKUP(D2458,Upah,8,FALSE)</f>
        <v>170000</v>
      </c>
      <c r="I2458" s="126">
        <f>G2458*H2458</f>
        <v>3059.9999999999995</v>
      </c>
    </row>
    <row r="2459" spans="1:10" ht="15.95" customHeight="1" thickBot="1" x14ac:dyDescent="0.3">
      <c r="C2459" s="132"/>
      <c r="D2459" s="133"/>
      <c r="E2459" s="134"/>
      <c r="F2459" s="134"/>
      <c r="G2459" s="135" t="s">
        <v>375</v>
      </c>
      <c r="H2459" s="136"/>
      <c r="I2459" s="137">
        <f>SUM(I2455:I2458)</f>
        <v>105085</v>
      </c>
    </row>
    <row r="2460" spans="1:10" ht="15.95" customHeight="1" x14ac:dyDescent="0.25">
      <c r="C2460" s="116" t="s">
        <v>376</v>
      </c>
      <c r="D2460" s="117" t="s">
        <v>377</v>
      </c>
      <c r="E2460" s="118"/>
      <c r="F2460" s="118"/>
      <c r="G2460" s="165"/>
      <c r="H2460" s="144"/>
      <c r="I2460" s="126"/>
    </row>
    <row r="2461" spans="1:10" ht="15.95" customHeight="1" x14ac:dyDescent="0.25">
      <c r="C2461" s="122"/>
      <c r="D2461" s="117" t="s">
        <v>796</v>
      </c>
      <c r="E2461" s="118"/>
      <c r="F2461" s="123" t="s">
        <v>797</v>
      </c>
      <c r="G2461" s="124">
        <v>4</v>
      </c>
      <c r="H2461" s="144">
        <f>VLOOKUP(D2461,Bahan,6,FALSE)</f>
        <v>57500</v>
      </c>
      <c r="I2461" s="126">
        <f>G2461*H2461</f>
        <v>230000</v>
      </c>
    </row>
    <row r="2462" spans="1:10" ht="15.95" customHeight="1" thickBot="1" x14ac:dyDescent="0.3">
      <c r="C2462" s="122"/>
      <c r="D2462" s="117" t="s">
        <v>798</v>
      </c>
      <c r="E2462" s="118"/>
      <c r="F2462" s="123" t="s">
        <v>799</v>
      </c>
      <c r="G2462" s="124">
        <v>1</v>
      </c>
      <c r="H2462" s="144">
        <f>VLOOKUP(D2462,Bahan,6,FALSE)</f>
        <v>50000</v>
      </c>
      <c r="I2462" s="126">
        <f>G2462*H2462</f>
        <v>50000</v>
      </c>
    </row>
    <row r="2463" spans="1:10" ht="15.95" customHeight="1" thickBot="1" x14ac:dyDescent="0.3">
      <c r="C2463" s="132"/>
      <c r="D2463" s="133"/>
      <c r="E2463" s="134"/>
      <c r="F2463" s="134"/>
      <c r="G2463" s="135" t="s">
        <v>386</v>
      </c>
      <c r="H2463" s="136"/>
      <c r="I2463" s="137">
        <f>SUM(I2460:I2462)</f>
        <v>280000</v>
      </c>
    </row>
    <row r="2464" spans="1:10" ht="15.95" customHeight="1" thickBot="1" x14ac:dyDescent="0.3">
      <c r="C2464" s="116" t="s">
        <v>387</v>
      </c>
      <c r="D2464" s="117" t="s">
        <v>388</v>
      </c>
      <c r="E2464" s="118"/>
      <c r="F2464" s="118"/>
      <c r="G2464" s="165"/>
      <c r="H2464" s="144">
        <f>IF(AND(D2464&lt;&gt;"",F2464&lt;&gt;""),IF(C2464="",IF(F2464="OH",VLOOKUP(D2464,[1]UPAH!$B$3:$G$32,7,0),VLOOKUP(D2464,[1]BAHAN!$A$2:$D$3,4,0)),0),0)</f>
        <v>0</v>
      </c>
      <c r="I2464" s="126">
        <f>G2464*H2464</f>
        <v>0</v>
      </c>
    </row>
    <row r="2465" spans="2:10" ht="15.95" customHeight="1" thickBot="1" x14ac:dyDescent="0.3">
      <c r="C2465" s="132"/>
      <c r="D2465" s="133"/>
      <c r="E2465" s="134"/>
      <c r="F2465" s="134"/>
      <c r="G2465" s="135" t="s">
        <v>389</v>
      </c>
      <c r="H2465" s="136"/>
      <c r="I2465" s="137">
        <f>I2464</f>
        <v>0</v>
      </c>
    </row>
    <row r="2466" spans="2:10" ht="15.95" customHeight="1" x14ac:dyDescent="0.25">
      <c r="C2466" s="158" t="s">
        <v>390</v>
      </c>
      <c r="D2466" s="159" t="s">
        <v>391</v>
      </c>
      <c r="E2466" s="160"/>
      <c r="F2466" s="160"/>
      <c r="G2466" s="161"/>
      <c r="H2466" s="162">
        <f>IF(AND(D2466&lt;&gt;"",F2466&lt;&gt;""),IF(C2466="",IF(F2466="OH",VLOOKUP(D2466,[1]UPAH!$B$3:$G$32,7,0),VLOOKUP(D2466,[1]BAHAN!$A$2:$D$3,4,0)),0),0)</f>
        <v>0</v>
      </c>
      <c r="I2466" s="126">
        <f>SUM(I2453:I2465)/2</f>
        <v>385085</v>
      </c>
    </row>
    <row r="2467" spans="2:10" ht="15.95" customHeight="1" thickBot="1" x14ac:dyDescent="0.3">
      <c r="C2467" s="147" t="s">
        <v>392</v>
      </c>
      <c r="D2467" s="148" t="s">
        <v>393</v>
      </c>
      <c r="E2467" s="149"/>
      <c r="F2467" s="149"/>
      <c r="G2467" s="164">
        <v>0.1</v>
      </c>
      <c r="H2467" s="151"/>
      <c r="I2467" s="146">
        <f>G2467*I2466</f>
        <v>38508.5</v>
      </c>
    </row>
    <row r="2468" spans="2:10" ht="15.95" customHeight="1" thickBot="1" x14ac:dyDescent="0.3">
      <c r="C2468" s="111" t="s">
        <v>394</v>
      </c>
      <c r="D2468" s="112" t="s">
        <v>395</v>
      </c>
      <c r="E2468" s="134"/>
      <c r="F2468" s="134"/>
      <c r="G2468" s="156"/>
      <c r="H2468" s="136">
        <f>IF(AND(D2468&lt;&gt;"",F2468&lt;&gt;""),IF(C2468="",IF(F2468="OH",VLOOKUP(D2468,[1]UPAH!$B$3:$G$32,7,0),VLOOKUP(D2468,[1]BAHAN!$A$2:$D$3,4,0)),0),0)</f>
        <v>0</v>
      </c>
      <c r="I2468" s="137">
        <f>ROUNDDOWN(I2466+I2467,0)</f>
        <v>423593</v>
      </c>
    </row>
    <row r="2469" spans="2:10" ht="15.95" customHeight="1" x14ac:dyDescent="0.25">
      <c r="C2469" s="109"/>
      <c r="D2469" s="109"/>
      <c r="G2469" s="157"/>
      <c r="H2469" s="166"/>
      <c r="I2469" s="110"/>
    </row>
    <row r="2470" spans="2:10" ht="15.95" customHeight="1" thickBot="1" x14ac:dyDescent="0.3">
      <c r="B2470" s="109" t="s">
        <v>802</v>
      </c>
      <c r="C2470" s="104" t="s">
        <v>803</v>
      </c>
      <c r="G2470" s="157"/>
      <c r="J2470" s="110">
        <f>I2486</f>
        <v>434689</v>
      </c>
    </row>
    <row r="2471" spans="2:10" ht="15.95" customHeight="1" thickBot="1" x14ac:dyDescent="0.3">
      <c r="C2471" s="111" t="s">
        <v>328</v>
      </c>
      <c r="D2471" s="112" t="s">
        <v>359</v>
      </c>
      <c r="E2471" s="113" t="s">
        <v>360</v>
      </c>
      <c r="F2471" s="113" t="s">
        <v>330</v>
      </c>
      <c r="G2471" s="114" t="s">
        <v>361</v>
      </c>
      <c r="H2471" s="112" t="s">
        <v>362</v>
      </c>
      <c r="I2471" s="115" t="s">
        <v>363</v>
      </c>
    </row>
    <row r="2472" spans="2:10" ht="15.95" customHeight="1" x14ac:dyDescent="0.25">
      <c r="C2472" s="116" t="s">
        <v>364</v>
      </c>
      <c r="D2472" s="117" t="s">
        <v>365</v>
      </c>
      <c r="E2472" s="118"/>
      <c r="F2472" s="118"/>
      <c r="G2472" s="165"/>
      <c r="H2472" s="144"/>
      <c r="I2472" s="126"/>
    </row>
    <row r="2473" spans="2:10" ht="15.95" customHeight="1" x14ac:dyDescent="0.25">
      <c r="C2473" s="122"/>
      <c r="D2473" s="117" t="s">
        <v>366</v>
      </c>
      <c r="E2473" s="123" t="s">
        <v>367</v>
      </c>
      <c r="F2473" s="123" t="s">
        <v>368</v>
      </c>
      <c r="G2473" s="217">
        <v>0.76039999999999996</v>
      </c>
      <c r="H2473" s="125">
        <f>VLOOKUP(D2473,Upah,8,FALSE)</f>
        <v>125000</v>
      </c>
      <c r="I2473" s="126">
        <f>G2473*H2473</f>
        <v>95050</v>
      </c>
    </row>
    <row r="2474" spans="2:10" ht="15.95" customHeight="1" x14ac:dyDescent="0.25">
      <c r="C2474" s="122"/>
      <c r="D2474" s="117" t="s">
        <v>577</v>
      </c>
      <c r="E2474" s="123" t="s">
        <v>578</v>
      </c>
      <c r="F2474" s="123" t="s">
        <v>368</v>
      </c>
      <c r="G2474" s="217">
        <v>0.76039999999999996</v>
      </c>
      <c r="H2474" s="125">
        <f>VLOOKUP(D2474,Upah,8,FALSE)</f>
        <v>150000</v>
      </c>
      <c r="I2474" s="126">
        <f>G2474*H2474</f>
        <v>114060</v>
      </c>
    </row>
    <row r="2475" spans="2:10" ht="15.95" customHeight="1" x14ac:dyDescent="0.25">
      <c r="C2475" s="122"/>
      <c r="D2475" s="117" t="s">
        <v>371</v>
      </c>
      <c r="E2475" s="123" t="s">
        <v>372</v>
      </c>
      <c r="F2475" s="123" t="s">
        <v>368</v>
      </c>
      <c r="G2475" s="217">
        <v>7.5999999999999998E-2</v>
      </c>
      <c r="H2475" s="125">
        <f>VLOOKUP(D2475,Upah,8,FALSE)</f>
        <v>165000</v>
      </c>
      <c r="I2475" s="126">
        <f>G2475*H2475</f>
        <v>12540</v>
      </c>
    </row>
    <row r="2476" spans="2:10" ht="15.95" customHeight="1" thickBot="1" x14ac:dyDescent="0.3">
      <c r="C2476" s="127"/>
      <c r="D2476" s="128" t="s">
        <v>373</v>
      </c>
      <c r="E2476" s="129" t="s">
        <v>374</v>
      </c>
      <c r="F2476" s="129" t="s">
        <v>368</v>
      </c>
      <c r="G2476" s="218">
        <v>3.7999999999999999E-2</v>
      </c>
      <c r="H2476" s="125">
        <f>VLOOKUP(D2476,Upah,8,FALSE)</f>
        <v>170000</v>
      </c>
      <c r="I2476" s="146">
        <f>G2476*H2476</f>
        <v>6460</v>
      </c>
    </row>
    <row r="2477" spans="2:10" ht="15.95" customHeight="1" thickBot="1" x14ac:dyDescent="0.3">
      <c r="C2477" s="132"/>
      <c r="D2477" s="133"/>
      <c r="E2477" s="134"/>
      <c r="F2477" s="134"/>
      <c r="G2477" s="135" t="s">
        <v>375</v>
      </c>
      <c r="H2477" s="136"/>
      <c r="I2477" s="137">
        <f>SUM(I2473:I2476)</f>
        <v>228110</v>
      </c>
    </row>
    <row r="2478" spans="2:10" ht="15.95" customHeight="1" x14ac:dyDescent="0.25">
      <c r="C2478" s="116" t="s">
        <v>376</v>
      </c>
      <c r="D2478" s="117" t="s">
        <v>377</v>
      </c>
      <c r="E2478" s="118"/>
      <c r="F2478" s="118"/>
      <c r="G2478" s="165"/>
      <c r="H2478" s="144"/>
      <c r="I2478" s="126"/>
    </row>
    <row r="2479" spans="2:10" ht="15.95" customHeight="1" thickBot="1" x14ac:dyDescent="0.3">
      <c r="C2479" s="122"/>
      <c r="D2479" s="219" t="s">
        <v>804</v>
      </c>
      <c r="E2479" s="118"/>
      <c r="F2479" s="123" t="s">
        <v>133</v>
      </c>
      <c r="G2479" s="124">
        <v>4.05</v>
      </c>
      <c r="H2479" s="144">
        <f>VLOOKUP(D2479,Bahan,6,FALSE)</f>
        <v>37500</v>
      </c>
      <c r="I2479" s="126">
        <f>G2479*H2479</f>
        <v>151875</v>
      </c>
    </row>
    <row r="2480" spans="2:10" ht="15.95" customHeight="1" thickBot="1" x14ac:dyDescent="0.3">
      <c r="C2480" s="132"/>
      <c r="D2480" s="133"/>
      <c r="E2480" s="134"/>
      <c r="F2480" s="134"/>
      <c r="G2480" s="135" t="s">
        <v>386</v>
      </c>
      <c r="H2480" s="136"/>
      <c r="I2480" s="137">
        <f>SUM(I2478:I2479)</f>
        <v>151875</v>
      </c>
    </row>
    <row r="2481" spans="2:10" ht="15.95" customHeight="1" x14ac:dyDescent="0.25">
      <c r="C2481" s="116" t="s">
        <v>387</v>
      </c>
      <c r="D2481" s="117" t="s">
        <v>388</v>
      </c>
      <c r="E2481" s="118"/>
      <c r="F2481" s="118"/>
      <c r="G2481" s="165"/>
      <c r="H2481" s="144">
        <f>IF(AND(D2481&lt;&gt;"",F2481&lt;&gt;""),IF(C2481="",IF(F2481="OH",VLOOKUP(D2481,[1]UPAH!$B$3:$G$32,7,0),VLOOKUP(D2481,[1]BAHAN!$A$2:$D$3,4,0)),0),0)</f>
        <v>0</v>
      </c>
      <c r="I2481" s="126">
        <f>G2481*H2481</f>
        <v>0</v>
      </c>
    </row>
    <row r="2482" spans="2:10" ht="15.95" customHeight="1" thickBot="1" x14ac:dyDescent="0.3">
      <c r="C2482" s="147"/>
      <c r="D2482" s="148" t="s">
        <v>805</v>
      </c>
      <c r="E2482" s="149"/>
      <c r="F2482" s="149"/>
      <c r="G2482" s="150">
        <v>0.1</v>
      </c>
      <c r="H2482" s="151"/>
      <c r="I2482" s="152">
        <f>G2482*I2480</f>
        <v>15187.5</v>
      </c>
    </row>
    <row r="2483" spans="2:10" ht="15.95" customHeight="1" thickBot="1" x14ac:dyDescent="0.3">
      <c r="C2483" s="132"/>
      <c r="D2483" s="133"/>
      <c r="E2483" s="134"/>
      <c r="F2483" s="134"/>
      <c r="G2483" s="135" t="s">
        <v>389</v>
      </c>
      <c r="H2483" s="136"/>
      <c r="I2483" s="137">
        <f>I2482</f>
        <v>15187.5</v>
      </c>
    </row>
    <row r="2484" spans="2:10" ht="15.95" customHeight="1" x14ac:dyDescent="0.25">
      <c r="C2484" s="158" t="s">
        <v>390</v>
      </c>
      <c r="D2484" s="159" t="s">
        <v>391</v>
      </c>
      <c r="E2484" s="160"/>
      <c r="F2484" s="160"/>
      <c r="G2484" s="161"/>
      <c r="H2484" s="162">
        <f>IF(AND(D2484&lt;&gt;"",F2484&lt;&gt;""),IF(C2484="",IF(F2484="OH",VLOOKUP(D2484,[1]UPAH!$B$3:$G$32,7,0),VLOOKUP(D2484,[1]BAHAN!$A$2:$D$3,4,0)),0),0)</f>
        <v>0</v>
      </c>
      <c r="I2484" s="126">
        <f>SUM(I2471:I2483)/2</f>
        <v>395172.5</v>
      </c>
    </row>
    <row r="2485" spans="2:10" ht="15.95" customHeight="1" thickBot="1" x14ac:dyDescent="0.3">
      <c r="C2485" s="147" t="s">
        <v>392</v>
      </c>
      <c r="D2485" s="148" t="s">
        <v>393</v>
      </c>
      <c r="E2485" s="149"/>
      <c r="F2485" s="149"/>
      <c r="G2485" s="164">
        <v>0.1</v>
      </c>
      <c r="H2485" s="151"/>
      <c r="I2485" s="146">
        <f>G2485*I2484</f>
        <v>39517.25</v>
      </c>
    </row>
    <row r="2486" spans="2:10" ht="15.95" customHeight="1" thickBot="1" x14ac:dyDescent="0.3">
      <c r="C2486" s="111" t="s">
        <v>394</v>
      </c>
      <c r="D2486" s="112" t="s">
        <v>395</v>
      </c>
      <c r="E2486" s="134"/>
      <c r="F2486" s="134"/>
      <c r="G2486" s="156"/>
      <c r="H2486" s="136">
        <f>IF(AND(D2486&lt;&gt;"",F2486&lt;&gt;""),IF(C2486="",IF(F2486="OH",VLOOKUP(D2486,[1]UPAH!$B$3:$G$32,7,0),VLOOKUP(D2486,[1]BAHAN!$A$2:$D$3,4,0)),0),0)</f>
        <v>0</v>
      </c>
      <c r="I2486" s="137">
        <f>ROUNDDOWN(I2484+I2485,0)</f>
        <v>434689</v>
      </c>
    </row>
    <row r="2487" spans="2:10" ht="15.95" customHeight="1" x14ac:dyDescent="0.25">
      <c r="C2487" s="109"/>
      <c r="D2487" s="109"/>
      <c r="G2487" s="157"/>
      <c r="H2487" s="166"/>
      <c r="I2487" s="110"/>
    </row>
    <row r="2488" spans="2:10" ht="15.95" customHeight="1" thickBot="1" x14ac:dyDescent="0.3">
      <c r="B2488" s="109" t="s">
        <v>806</v>
      </c>
      <c r="C2488" s="104" t="s">
        <v>807</v>
      </c>
      <c r="G2488" s="157"/>
      <c r="J2488" s="110">
        <f>I2504</f>
        <v>417619</v>
      </c>
    </row>
    <row r="2489" spans="2:10" ht="13.5" thickBot="1" x14ac:dyDescent="0.3">
      <c r="C2489" s="220" t="s">
        <v>328</v>
      </c>
      <c r="D2489" s="221" t="s">
        <v>359</v>
      </c>
      <c r="E2489" s="221" t="s">
        <v>360</v>
      </c>
      <c r="F2489" s="221" t="s">
        <v>330</v>
      </c>
      <c r="G2489" s="221" t="s">
        <v>361</v>
      </c>
      <c r="H2489" s="222" t="s">
        <v>362</v>
      </c>
      <c r="I2489" s="223" t="s">
        <v>363</v>
      </c>
    </row>
    <row r="2490" spans="2:10" ht="15.95" customHeight="1" x14ac:dyDescent="0.25">
      <c r="C2490" s="116" t="s">
        <v>364</v>
      </c>
      <c r="D2490" s="117" t="s">
        <v>365</v>
      </c>
      <c r="E2490" s="118"/>
      <c r="F2490" s="118"/>
      <c r="G2490" s="165"/>
      <c r="H2490" s="144"/>
      <c r="I2490" s="126"/>
    </row>
    <row r="2491" spans="2:10" ht="15.95" customHeight="1" x14ac:dyDescent="0.25">
      <c r="C2491" s="122"/>
      <c r="D2491" s="117" t="s">
        <v>366</v>
      </c>
      <c r="E2491" s="123" t="s">
        <v>367</v>
      </c>
      <c r="F2491" s="123" t="s">
        <v>368</v>
      </c>
      <c r="G2491" s="217">
        <v>0.73399999999999999</v>
      </c>
      <c r="H2491" s="125">
        <f>VLOOKUP(D2491,Upah,8,FALSE)</f>
        <v>125000</v>
      </c>
      <c r="I2491" s="126">
        <f>G2491*H2491</f>
        <v>91750</v>
      </c>
    </row>
    <row r="2492" spans="2:10" ht="15.95" customHeight="1" x14ac:dyDescent="0.25">
      <c r="C2492" s="122"/>
      <c r="D2492" s="117" t="s">
        <v>577</v>
      </c>
      <c r="E2492" s="123" t="s">
        <v>578</v>
      </c>
      <c r="F2492" s="123" t="s">
        <v>368</v>
      </c>
      <c r="G2492" s="217">
        <v>0.73399999999999999</v>
      </c>
      <c r="H2492" s="125">
        <f>VLOOKUP(D2492,Upah,8,FALSE)</f>
        <v>150000</v>
      </c>
      <c r="I2492" s="126">
        <f>G2492*H2492</f>
        <v>110100</v>
      </c>
    </row>
    <row r="2493" spans="2:10" ht="15.95" customHeight="1" x14ac:dyDescent="0.25">
      <c r="C2493" s="122"/>
      <c r="D2493" s="117" t="s">
        <v>371</v>
      </c>
      <c r="E2493" s="123" t="s">
        <v>372</v>
      </c>
      <c r="F2493" s="123" t="s">
        <v>368</v>
      </c>
      <c r="G2493" s="217">
        <v>7.2999999999999995E-2</v>
      </c>
      <c r="H2493" s="125">
        <f>VLOOKUP(D2493,Upah,8,FALSE)</f>
        <v>165000</v>
      </c>
      <c r="I2493" s="126">
        <f>G2493*H2493</f>
        <v>12045</v>
      </c>
    </row>
    <row r="2494" spans="2:10" ht="15.95" customHeight="1" thickBot="1" x14ac:dyDescent="0.3">
      <c r="C2494" s="127"/>
      <c r="D2494" s="128" t="s">
        <v>373</v>
      </c>
      <c r="E2494" s="129" t="s">
        <v>374</v>
      </c>
      <c r="F2494" s="129" t="s">
        <v>368</v>
      </c>
      <c r="G2494" s="218">
        <v>3.6999999999999998E-2</v>
      </c>
      <c r="H2494" s="125">
        <f>VLOOKUP(D2494,Upah,8,FALSE)</f>
        <v>170000</v>
      </c>
      <c r="I2494" s="146">
        <f>G2494*H2494</f>
        <v>6290</v>
      </c>
    </row>
    <row r="2495" spans="2:10" ht="15.95" customHeight="1" thickBot="1" x14ac:dyDescent="0.3">
      <c r="C2495" s="132"/>
      <c r="D2495" s="133"/>
      <c r="E2495" s="134"/>
      <c r="F2495" s="134"/>
      <c r="G2495" s="135" t="s">
        <v>375</v>
      </c>
      <c r="H2495" s="136"/>
      <c r="I2495" s="137">
        <f>SUM(I2491:I2494)</f>
        <v>220185</v>
      </c>
    </row>
    <row r="2496" spans="2:10" ht="15.95" customHeight="1" x14ac:dyDescent="0.25">
      <c r="C2496" s="116" t="s">
        <v>376</v>
      </c>
      <c r="D2496" s="117" t="s">
        <v>377</v>
      </c>
      <c r="E2496" s="118"/>
      <c r="F2496" s="118"/>
      <c r="G2496" s="165"/>
      <c r="H2496" s="144"/>
      <c r="I2496" s="126"/>
    </row>
    <row r="2497" spans="1:10" ht="15.95" customHeight="1" thickBot="1" x14ac:dyDescent="0.3">
      <c r="C2497" s="122"/>
      <c r="D2497" s="219" t="s">
        <v>804</v>
      </c>
      <c r="E2497" s="118"/>
      <c r="F2497" s="123" t="s">
        <v>133</v>
      </c>
      <c r="G2497" s="124">
        <v>4.05</v>
      </c>
      <c r="H2497" s="144">
        <f>VLOOKUP(D2497,Bahan,6,FALSE)</f>
        <v>37500</v>
      </c>
      <c r="I2497" s="126">
        <f>G2497*H2497</f>
        <v>151875</v>
      </c>
    </row>
    <row r="2498" spans="1:10" ht="15.95" customHeight="1" thickBot="1" x14ac:dyDescent="0.3">
      <c r="C2498" s="132"/>
      <c r="D2498" s="133"/>
      <c r="E2498" s="134"/>
      <c r="F2498" s="134"/>
      <c r="G2498" s="135" t="s">
        <v>386</v>
      </c>
      <c r="H2498" s="136"/>
      <c r="I2498" s="137">
        <f>SUM(I2497)</f>
        <v>151875</v>
      </c>
    </row>
    <row r="2499" spans="1:10" ht="15.95" customHeight="1" x14ac:dyDescent="0.25">
      <c r="C2499" s="116" t="s">
        <v>387</v>
      </c>
      <c r="D2499" s="117" t="s">
        <v>388</v>
      </c>
      <c r="E2499" s="118"/>
      <c r="F2499" s="118"/>
      <c r="G2499" s="165"/>
      <c r="H2499" s="144"/>
      <c r="I2499" s="126"/>
    </row>
    <row r="2500" spans="1:10" ht="15.95" customHeight="1" thickBot="1" x14ac:dyDescent="0.3">
      <c r="C2500" s="147"/>
      <c r="D2500" s="148" t="s">
        <v>805</v>
      </c>
      <c r="E2500" s="149"/>
      <c r="F2500" s="149"/>
      <c r="G2500" s="150">
        <v>0.1</v>
      </c>
      <c r="H2500" s="144"/>
      <c r="I2500" s="152">
        <f>G2500*I2498</f>
        <v>15187.5</v>
      </c>
    </row>
    <row r="2501" spans="1:10" ht="15.95" customHeight="1" thickBot="1" x14ac:dyDescent="0.3">
      <c r="C2501" s="132"/>
      <c r="D2501" s="133"/>
      <c r="E2501" s="134"/>
      <c r="F2501" s="134"/>
      <c r="G2501" s="135" t="s">
        <v>389</v>
      </c>
      <c r="H2501" s="136"/>
      <c r="I2501" s="137">
        <f>I2499</f>
        <v>0</v>
      </c>
    </row>
    <row r="2502" spans="1:10" ht="15.95" customHeight="1" x14ac:dyDescent="0.25">
      <c r="C2502" s="158" t="s">
        <v>390</v>
      </c>
      <c r="D2502" s="159" t="s">
        <v>391</v>
      </c>
      <c r="E2502" s="160"/>
      <c r="F2502" s="160"/>
      <c r="G2502" s="161"/>
      <c r="H2502" s="162">
        <f>IF(AND(D2502&lt;&gt;"",F2502&lt;&gt;""),IF(C2502="",IF(F2502="OH",VLOOKUP(D2502,[1]UPAH!$B$3:$G$32,7,0),VLOOKUP(D2502,[1]BAHAN!$A$2:$D$3,4,0)),0),0)</f>
        <v>0</v>
      </c>
      <c r="I2502" s="126">
        <f>SUM(I2489:I2501)/2</f>
        <v>379653.75</v>
      </c>
    </row>
    <row r="2503" spans="1:10" ht="15.95" customHeight="1" thickBot="1" x14ac:dyDescent="0.3">
      <c r="C2503" s="147" t="s">
        <v>392</v>
      </c>
      <c r="D2503" s="148" t="s">
        <v>393</v>
      </c>
      <c r="E2503" s="149"/>
      <c r="F2503" s="149"/>
      <c r="G2503" s="164">
        <v>0.1</v>
      </c>
      <c r="H2503" s="151"/>
      <c r="I2503" s="146">
        <f>G2503*I2502</f>
        <v>37965.375</v>
      </c>
    </row>
    <row r="2504" spans="1:10" ht="15.95" customHeight="1" thickBot="1" x14ac:dyDescent="0.3">
      <c r="C2504" s="111" t="s">
        <v>394</v>
      </c>
      <c r="D2504" s="112" t="s">
        <v>395</v>
      </c>
      <c r="E2504" s="134"/>
      <c r="F2504" s="134"/>
      <c r="G2504" s="156"/>
      <c r="H2504" s="136">
        <f>IF(AND(D2504&lt;&gt;"",F2504&lt;&gt;""),IF(C2504="",IF(F2504="OH",VLOOKUP(D2504,[1]UPAH!$B$3:$G$32,7,0),VLOOKUP(D2504,[1]BAHAN!$A$2:$D$3,4,0)),0),0)</f>
        <v>0</v>
      </c>
      <c r="I2504" s="137">
        <f>ROUNDDOWN(I2502+I2503,0)</f>
        <v>417619</v>
      </c>
    </row>
    <row r="2505" spans="1:10" ht="15.95" customHeight="1" x14ac:dyDescent="0.25">
      <c r="C2505" s="109"/>
      <c r="D2505" s="109"/>
      <c r="G2505" s="157"/>
      <c r="H2505" s="166"/>
      <c r="I2505" s="110"/>
    </row>
    <row r="2506" spans="1:10" ht="15.95" customHeight="1" thickBot="1" x14ac:dyDescent="0.3">
      <c r="A2506" s="246"/>
      <c r="B2506" s="247" t="s">
        <v>808</v>
      </c>
      <c r="C2506" s="247" t="s">
        <v>809</v>
      </c>
      <c r="D2506" s="247"/>
      <c r="E2506" s="354"/>
      <c r="F2506" s="354"/>
      <c r="G2506" s="355"/>
      <c r="H2506" s="166"/>
      <c r="I2506" s="110"/>
      <c r="J2506" s="110">
        <f>I2526</f>
        <v>396201</v>
      </c>
    </row>
    <row r="2507" spans="1:10" ht="13.5" thickBot="1" x14ac:dyDescent="0.3">
      <c r="C2507" s="220" t="s">
        <v>328</v>
      </c>
      <c r="D2507" s="221" t="s">
        <v>359</v>
      </c>
      <c r="E2507" s="221" t="s">
        <v>360</v>
      </c>
      <c r="F2507" s="221" t="s">
        <v>330</v>
      </c>
      <c r="G2507" s="221" t="s">
        <v>361</v>
      </c>
      <c r="H2507" s="222" t="s">
        <v>362</v>
      </c>
      <c r="I2507" s="223" t="s">
        <v>363</v>
      </c>
    </row>
    <row r="2508" spans="1:10" ht="15.95" customHeight="1" x14ac:dyDescent="0.25">
      <c r="C2508" s="116" t="s">
        <v>364</v>
      </c>
      <c r="D2508" s="117" t="s">
        <v>365</v>
      </c>
      <c r="E2508" s="118"/>
      <c r="F2508" s="118"/>
      <c r="G2508" s="165"/>
      <c r="H2508" s="144"/>
      <c r="I2508" s="126"/>
    </row>
    <row r="2509" spans="1:10" ht="15.95" customHeight="1" x14ac:dyDescent="0.25">
      <c r="C2509" s="122"/>
      <c r="D2509" s="117" t="s">
        <v>366</v>
      </c>
      <c r="E2509" s="123" t="s">
        <v>367</v>
      </c>
      <c r="F2509" s="123" t="s">
        <v>368</v>
      </c>
      <c r="G2509" s="217">
        <v>0.2</v>
      </c>
      <c r="H2509" s="125">
        <f>VLOOKUP(D2509,Upah,8,FALSE)</f>
        <v>125000</v>
      </c>
      <c r="I2509" s="126">
        <f>G2509*H2509</f>
        <v>25000</v>
      </c>
    </row>
    <row r="2510" spans="1:10" ht="15.95" customHeight="1" x14ac:dyDescent="0.25">
      <c r="C2510" s="122"/>
      <c r="D2510" s="117" t="s">
        <v>577</v>
      </c>
      <c r="E2510" s="123" t="s">
        <v>578</v>
      </c>
      <c r="F2510" s="123" t="s">
        <v>368</v>
      </c>
      <c r="G2510" s="217">
        <v>0.45</v>
      </c>
      <c r="H2510" s="125">
        <f>VLOOKUP(D2510,Upah,8,FALSE)</f>
        <v>150000</v>
      </c>
      <c r="I2510" s="126">
        <f>G2510*H2510</f>
        <v>67500</v>
      </c>
    </row>
    <row r="2511" spans="1:10" ht="15.95" customHeight="1" x14ac:dyDescent="0.25">
      <c r="C2511" s="122"/>
      <c r="D2511" s="117" t="s">
        <v>371</v>
      </c>
      <c r="E2511" s="123" t="s">
        <v>372</v>
      </c>
      <c r="F2511" s="123" t="s">
        <v>368</v>
      </c>
      <c r="G2511" s="217">
        <v>0.01</v>
      </c>
      <c r="H2511" s="125">
        <f>VLOOKUP(D2511,Upah,8,FALSE)</f>
        <v>165000</v>
      </c>
      <c r="I2511" s="126">
        <f>G2511*H2511</f>
        <v>1650</v>
      </c>
    </row>
    <row r="2512" spans="1:10" ht="15.95" customHeight="1" thickBot="1" x14ac:dyDescent="0.3">
      <c r="C2512" s="127"/>
      <c r="D2512" s="128" t="s">
        <v>373</v>
      </c>
      <c r="E2512" s="129" t="s">
        <v>374</v>
      </c>
      <c r="F2512" s="129" t="s">
        <v>368</v>
      </c>
      <c r="G2512" s="218">
        <v>0.05</v>
      </c>
      <c r="H2512" s="125">
        <f>VLOOKUP(D2512,Upah,8,FALSE)</f>
        <v>170000</v>
      </c>
      <c r="I2512" s="146">
        <f>G2512*H2512</f>
        <v>8500</v>
      </c>
    </row>
    <row r="2513" spans="3:9" ht="15.95" customHeight="1" thickBot="1" x14ac:dyDescent="0.3">
      <c r="C2513" s="132"/>
      <c r="D2513" s="133"/>
      <c r="E2513" s="134"/>
      <c r="F2513" s="134"/>
      <c r="G2513" s="135" t="s">
        <v>375</v>
      </c>
      <c r="H2513" s="136"/>
      <c r="I2513" s="137">
        <f>SUM(I2509:I2512)</f>
        <v>102650</v>
      </c>
    </row>
    <row r="2514" spans="3:9" ht="15.95" customHeight="1" x14ac:dyDescent="0.25">
      <c r="C2514" s="158" t="s">
        <v>376</v>
      </c>
      <c r="D2514" s="159" t="s">
        <v>377</v>
      </c>
      <c r="E2514" s="160"/>
      <c r="F2514" s="160"/>
      <c r="G2514" s="161"/>
      <c r="H2514" s="162"/>
      <c r="I2514" s="163"/>
    </row>
    <row r="2515" spans="3:9" ht="15.95" customHeight="1" x14ac:dyDescent="0.25">
      <c r="C2515" s="122"/>
      <c r="D2515" s="219" t="s">
        <v>804</v>
      </c>
      <c r="E2515" s="118"/>
      <c r="F2515" s="123" t="s">
        <v>284</v>
      </c>
      <c r="G2515" s="124">
        <v>3.72</v>
      </c>
      <c r="H2515" s="144">
        <f>VLOOKUP(D2515,Bahan,6,FALSE)</f>
        <v>37500</v>
      </c>
      <c r="I2515" s="126">
        <f>G2515*H2515</f>
        <v>139500</v>
      </c>
    </row>
    <row r="2516" spans="3:9" ht="15.95" customHeight="1" x14ac:dyDescent="0.25">
      <c r="C2516" s="122"/>
      <c r="D2516" s="219" t="s">
        <v>810</v>
      </c>
      <c r="E2516" s="118"/>
      <c r="F2516" s="123" t="s">
        <v>130</v>
      </c>
      <c r="G2516" s="124">
        <v>28</v>
      </c>
      <c r="H2516" s="144">
        <f>VLOOKUP(D2516,Bahan,6,FALSE)</f>
        <v>540</v>
      </c>
      <c r="I2516" s="126">
        <f>G2516*H2516</f>
        <v>15120</v>
      </c>
    </row>
    <row r="2517" spans="3:9" ht="15.95" customHeight="1" x14ac:dyDescent="0.25">
      <c r="C2517" s="122"/>
      <c r="D2517" s="219" t="s">
        <v>649</v>
      </c>
      <c r="E2517" s="118"/>
      <c r="F2517" s="123" t="s">
        <v>130</v>
      </c>
      <c r="G2517" s="124">
        <v>2</v>
      </c>
      <c r="H2517" s="144">
        <f>VLOOKUP(D2517,Bahan,6,FALSE)</f>
        <v>12500</v>
      </c>
      <c r="I2517" s="126">
        <f>G2517*H2517</f>
        <v>25000</v>
      </c>
    </row>
    <row r="2518" spans="3:9" ht="15.95" customHeight="1" x14ac:dyDescent="0.25">
      <c r="C2518" s="122"/>
      <c r="D2518" s="219" t="s">
        <v>811</v>
      </c>
      <c r="E2518" s="118"/>
      <c r="F2518" s="123" t="s">
        <v>284</v>
      </c>
      <c r="G2518" s="124">
        <v>5.4</v>
      </c>
      <c r="H2518" s="144">
        <f>VLOOKUP(D2518,Bahan,6,FALSE)</f>
        <v>11000</v>
      </c>
      <c r="I2518" s="126">
        <f>G2518*H2518</f>
        <v>59400.000000000007</v>
      </c>
    </row>
    <row r="2519" spans="3:9" ht="15.95" customHeight="1" thickBot="1" x14ac:dyDescent="0.3">
      <c r="C2519" s="177"/>
      <c r="D2519" s="224" t="s">
        <v>812</v>
      </c>
      <c r="E2519" s="179"/>
      <c r="F2519" s="180" t="s">
        <v>284</v>
      </c>
      <c r="G2519" s="181">
        <v>0.124</v>
      </c>
      <c r="H2519" s="144">
        <f>VLOOKUP(D2519,Bahan,6,FALSE)</f>
        <v>50400</v>
      </c>
      <c r="I2519" s="182">
        <f>G2519*H2519</f>
        <v>6249.6</v>
      </c>
    </row>
    <row r="2520" spans="3:9" ht="15.95" customHeight="1" thickBot="1" x14ac:dyDescent="0.3">
      <c r="C2520" s="225"/>
      <c r="D2520" s="226"/>
      <c r="E2520" s="197"/>
      <c r="F2520" s="197"/>
      <c r="G2520" s="227" t="s">
        <v>386</v>
      </c>
      <c r="H2520" s="199"/>
      <c r="I2520" s="200">
        <f>SUM(I2515:I2519)</f>
        <v>245269.6</v>
      </c>
    </row>
    <row r="2521" spans="3:9" ht="15.95" customHeight="1" x14ac:dyDescent="0.25">
      <c r="C2521" s="116" t="s">
        <v>387</v>
      </c>
      <c r="D2521" s="117" t="s">
        <v>388</v>
      </c>
      <c r="E2521" s="118"/>
      <c r="F2521" s="118"/>
      <c r="G2521" s="165"/>
      <c r="H2521" s="144"/>
      <c r="I2521" s="126"/>
    </row>
    <row r="2522" spans="3:9" ht="15.95" customHeight="1" thickBot="1" x14ac:dyDescent="0.3">
      <c r="C2522" s="147"/>
      <c r="D2522" s="148" t="s">
        <v>805</v>
      </c>
      <c r="E2522" s="149"/>
      <c r="F2522" s="149"/>
      <c r="G2522" s="150">
        <v>0.1</v>
      </c>
      <c r="H2522" s="144"/>
      <c r="I2522" s="152">
        <f>G2522*I2520</f>
        <v>24526.960000000003</v>
      </c>
    </row>
    <row r="2523" spans="3:9" ht="15.95" customHeight="1" thickBot="1" x14ac:dyDescent="0.3">
      <c r="C2523" s="132"/>
      <c r="D2523" s="133"/>
      <c r="E2523" s="134"/>
      <c r="F2523" s="134"/>
      <c r="G2523" s="135" t="s">
        <v>389</v>
      </c>
      <c r="H2523" s="136"/>
      <c r="I2523" s="137">
        <f>I2521</f>
        <v>0</v>
      </c>
    </row>
    <row r="2524" spans="3:9" ht="15.95" customHeight="1" x14ac:dyDescent="0.25">
      <c r="C2524" s="158" t="s">
        <v>390</v>
      </c>
      <c r="D2524" s="159" t="s">
        <v>391</v>
      </c>
      <c r="E2524" s="160"/>
      <c r="F2524" s="160"/>
      <c r="G2524" s="161"/>
      <c r="H2524" s="162">
        <f>IF(AND(D2524&lt;&gt;"",F2524&lt;&gt;""),IF(C2524="",IF(F2524="OH",VLOOKUP(D2524,[1]UPAH!$B$3:$G$32,7,0),VLOOKUP(D2524,[1]BAHAN!$A$2:$D$3,4,0)),0),0)</f>
        <v>0</v>
      </c>
      <c r="I2524" s="126">
        <f>SUM(I2507:I2523)/2</f>
        <v>360183.07999999996</v>
      </c>
    </row>
    <row r="2525" spans="3:9" ht="15.95" customHeight="1" thickBot="1" x14ac:dyDescent="0.3">
      <c r="C2525" s="147" t="s">
        <v>392</v>
      </c>
      <c r="D2525" s="148" t="s">
        <v>393</v>
      </c>
      <c r="E2525" s="149"/>
      <c r="F2525" s="149"/>
      <c r="G2525" s="164">
        <v>0.1</v>
      </c>
      <c r="H2525" s="151"/>
      <c r="I2525" s="146">
        <f>G2525*I2524</f>
        <v>36018.307999999997</v>
      </c>
    </row>
    <row r="2526" spans="3:9" ht="15.95" customHeight="1" thickBot="1" x14ac:dyDescent="0.3">
      <c r="C2526" s="111" t="s">
        <v>394</v>
      </c>
      <c r="D2526" s="112" t="s">
        <v>395</v>
      </c>
      <c r="E2526" s="134"/>
      <c r="F2526" s="134"/>
      <c r="G2526" s="156"/>
      <c r="H2526" s="136">
        <f>IF(AND(D2526&lt;&gt;"",F2526&lt;&gt;""),IF(C2526="",IF(F2526="OH",VLOOKUP(D2526,[1]UPAH!$B$3:$G$32,7,0),VLOOKUP(D2526,[1]BAHAN!$A$2:$D$3,4,0)),0),0)</f>
        <v>0</v>
      </c>
      <c r="I2526" s="137">
        <f>ROUNDDOWN(I2524+I2525,0)</f>
        <v>396201</v>
      </c>
    </row>
    <row r="2527" spans="3:9" ht="15.95" customHeight="1" x14ac:dyDescent="0.25">
      <c r="C2527" s="109"/>
      <c r="D2527" s="109"/>
      <c r="G2527" s="157"/>
      <c r="H2527" s="166"/>
      <c r="I2527" s="110"/>
    </row>
    <row r="2528" spans="3:9" ht="15.95" customHeight="1" x14ac:dyDescent="0.25">
      <c r="C2528" s="109"/>
      <c r="D2528" s="109"/>
      <c r="G2528" s="157"/>
    </row>
    <row r="2529" spans="2:10" ht="15.95" customHeight="1" thickBot="1" x14ac:dyDescent="0.3">
      <c r="B2529" s="109" t="s">
        <v>813</v>
      </c>
      <c r="C2529" s="109" t="s">
        <v>814</v>
      </c>
      <c r="D2529" s="109"/>
      <c r="G2529" s="157"/>
      <c r="H2529" s="166"/>
      <c r="I2529" s="110"/>
      <c r="J2529" s="110">
        <f>I2546</f>
        <v>220368</v>
      </c>
    </row>
    <row r="2530" spans="2:10" ht="15.95" customHeight="1" thickBot="1" x14ac:dyDescent="0.3">
      <c r="C2530" s="111" t="s">
        <v>328</v>
      </c>
      <c r="D2530" s="112" t="s">
        <v>359</v>
      </c>
      <c r="E2530" s="113" t="s">
        <v>360</v>
      </c>
      <c r="F2530" s="113" t="s">
        <v>330</v>
      </c>
      <c r="G2530" s="114" t="s">
        <v>361</v>
      </c>
      <c r="H2530" s="112" t="s">
        <v>362</v>
      </c>
      <c r="I2530" s="115" t="s">
        <v>363</v>
      </c>
    </row>
    <row r="2531" spans="2:10" ht="15.95" customHeight="1" x14ac:dyDescent="0.25">
      <c r="C2531" s="116" t="s">
        <v>364</v>
      </c>
      <c r="D2531" s="117" t="s">
        <v>365</v>
      </c>
      <c r="E2531" s="118"/>
      <c r="F2531" s="118"/>
      <c r="G2531" s="165"/>
      <c r="H2531" s="144"/>
      <c r="I2531" s="126"/>
    </row>
    <row r="2532" spans="2:10" ht="15.95" customHeight="1" x14ac:dyDescent="0.25">
      <c r="C2532" s="122"/>
      <c r="D2532" s="117" t="s">
        <v>366</v>
      </c>
      <c r="E2532" s="123" t="s">
        <v>367</v>
      </c>
      <c r="F2532" s="123" t="s">
        <v>368</v>
      </c>
      <c r="G2532" s="217">
        <v>0.35</v>
      </c>
      <c r="H2532" s="125">
        <f>VLOOKUP(D2532,Upah,8,FALSE)</f>
        <v>125000</v>
      </c>
      <c r="I2532" s="126">
        <f>G2532*H2532</f>
        <v>43750</v>
      </c>
    </row>
    <row r="2533" spans="2:10" ht="15.95" customHeight="1" x14ac:dyDescent="0.25">
      <c r="C2533" s="122"/>
      <c r="D2533" s="117" t="s">
        <v>455</v>
      </c>
      <c r="E2533" s="123" t="s">
        <v>578</v>
      </c>
      <c r="F2533" s="123" t="s">
        <v>368</v>
      </c>
      <c r="G2533" s="217">
        <v>0.35</v>
      </c>
      <c r="H2533" s="125">
        <f>VLOOKUP(D2533,Upah,8,FALSE)</f>
        <v>150000</v>
      </c>
      <c r="I2533" s="126">
        <f>G2533*H2533</f>
        <v>52500</v>
      </c>
    </row>
    <row r="2534" spans="2:10" ht="15.95" customHeight="1" x14ac:dyDescent="0.25">
      <c r="C2534" s="122"/>
      <c r="D2534" s="117" t="s">
        <v>371</v>
      </c>
      <c r="E2534" s="123" t="s">
        <v>372</v>
      </c>
      <c r="F2534" s="123" t="s">
        <v>368</v>
      </c>
      <c r="G2534" s="217">
        <v>3.5000000000000003E-2</v>
      </c>
      <c r="H2534" s="125">
        <f>VLOOKUP(D2534,Upah,8,FALSE)</f>
        <v>165000</v>
      </c>
      <c r="I2534" s="126">
        <f>G2534*H2534</f>
        <v>5775.0000000000009</v>
      </c>
    </row>
    <row r="2535" spans="2:10" ht="15.95" customHeight="1" thickBot="1" x14ac:dyDescent="0.3">
      <c r="C2535" s="127"/>
      <c r="D2535" s="128" t="s">
        <v>373</v>
      </c>
      <c r="E2535" s="129" t="s">
        <v>374</v>
      </c>
      <c r="F2535" s="129" t="s">
        <v>368</v>
      </c>
      <c r="G2535" s="218">
        <v>1.7999999999999999E-2</v>
      </c>
      <c r="H2535" s="125">
        <f>VLOOKUP(D2535,Upah,8,FALSE)</f>
        <v>170000</v>
      </c>
      <c r="I2535" s="146">
        <f>G2535*H2535</f>
        <v>3059.9999999999995</v>
      </c>
    </row>
    <row r="2536" spans="2:10" ht="15.95" customHeight="1" thickBot="1" x14ac:dyDescent="0.3">
      <c r="C2536" s="132"/>
      <c r="D2536" s="133"/>
      <c r="E2536" s="134"/>
      <c r="F2536" s="134"/>
      <c r="G2536" s="135" t="s">
        <v>375</v>
      </c>
      <c r="H2536" s="136"/>
      <c r="I2536" s="137">
        <f>SUM(I2532:I2535)</f>
        <v>105085</v>
      </c>
    </row>
    <row r="2537" spans="2:10" ht="15.95" customHeight="1" x14ac:dyDescent="0.25">
      <c r="C2537" s="158" t="s">
        <v>376</v>
      </c>
      <c r="D2537" s="159" t="s">
        <v>377</v>
      </c>
      <c r="E2537" s="160"/>
      <c r="F2537" s="160"/>
      <c r="G2537" s="161"/>
      <c r="H2537" s="162"/>
      <c r="I2537" s="163"/>
    </row>
    <row r="2538" spans="2:10" ht="15.95" customHeight="1" x14ac:dyDescent="0.25">
      <c r="C2538" s="122"/>
      <c r="D2538" s="219" t="s">
        <v>815</v>
      </c>
      <c r="E2538" s="118"/>
      <c r="F2538" s="123" t="s">
        <v>816</v>
      </c>
      <c r="G2538" s="124">
        <v>1</v>
      </c>
      <c r="H2538" s="144">
        <f>VLOOKUP(D2538,Bahan,6,FALSE)</f>
        <v>95250</v>
      </c>
      <c r="I2538" s="126">
        <f>G2538*H2538</f>
        <v>95250</v>
      </c>
    </row>
    <row r="2539" spans="2:10" ht="15.95" customHeight="1" thickBot="1" x14ac:dyDescent="0.3">
      <c r="C2539" s="177"/>
      <c r="D2539" s="224"/>
      <c r="E2539" s="179"/>
      <c r="F2539" s="180"/>
      <c r="G2539" s="181"/>
      <c r="H2539" s="228"/>
      <c r="I2539" s="182"/>
    </row>
    <row r="2540" spans="2:10" ht="15.95" customHeight="1" thickBot="1" x14ac:dyDescent="0.3">
      <c r="C2540" s="225"/>
      <c r="D2540" s="226"/>
      <c r="E2540" s="197"/>
      <c r="F2540" s="197"/>
      <c r="G2540" s="227" t="s">
        <v>386</v>
      </c>
      <c r="H2540" s="199"/>
      <c r="I2540" s="200">
        <f>SUM(I2538:I2539)</f>
        <v>95250</v>
      </c>
    </row>
    <row r="2541" spans="2:10" ht="15.95" customHeight="1" x14ac:dyDescent="0.25">
      <c r="C2541" s="116" t="s">
        <v>387</v>
      </c>
      <c r="D2541" s="117" t="s">
        <v>388</v>
      </c>
      <c r="E2541" s="118"/>
      <c r="F2541" s="118"/>
      <c r="G2541" s="165"/>
      <c r="H2541" s="144"/>
      <c r="I2541" s="126"/>
    </row>
    <row r="2542" spans="2:10" ht="15.95" customHeight="1" thickBot="1" x14ac:dyDescent="0.3">
      <c r="C2542" s="147"/>
      <c r="D2542" s="148"/>
      <c r="E2542" s="149"/>
      <c r="F2542" s="149"/>
      <c r="G2542" s="150"/>
      <c r="H2542" s="144"/>
      <c r="I2542" s="152"/>
    </row>
    <row r="2543" spans="2:10" ht="15.95" customHeight="1" thickBot="1" x14ac:dyDescent="0.3">
      <c r="C2543" s="132"/>
      <c r="D2543" s="133"/>
      <c r="E2543" s="134"/>
      <c r="F2543" s="134"/>
      <c r="G2543" s="135" t="s">
        <v>389</v>
      </c>
      <c r="H2543" s="136"/>
      <c r="I2543" s="137">
        <f>I2541</f>
        <v>0</v>
      </c>
    </row>
    <row r="2544" spans="2:10" ht="15.95" customHeight="1" x14ac:dyDescent="0.25">
      <c r="C2544" s="158" t="s">
        <v>390</v>
      </c>
      <c r="D2544" s="159" t="s">
        <v>391</v>
      </c>
      <c r="E2544" s="160"/>
      <c r="F2544" s="160"/>
      <c r="G2544" s="161"/>
      <c r="H2544" s="162">
        <f>IF(AND(D2544&lt;&gt;"",F2544&lt;&gt;""),IF(C2544="",IF(F2544="OH",VLOOKUP(D2544,[1]UPAH!$B$3:$G$32,7,0),VLOOKUP(D2544,[1]BAHAN!$A$2:$D$3,4,0)),0),0)</f>
        <v>0</v>
      </c>
      <c r="I2544" s="126">
        <f>SUM(I2530:I2543)/2</f>
        <v>200335</v>
      </c>
    </row>
    <row r="2545" spans="1:10" ht="15.95" customHeight="1" thickBot="1" x14ac:dyDescent="0.3">
      <c r="C2545" s="147" t="s">
        <v>392</v>
      </c>
      <c r="D2545" s="148" t="s">
        <v>393</v>
      </c>
      <c r="E2545" s="149"/>
      <c r="F2545" s="149"/>
      <c r="G2545" s="164">
        <v>0.1</v>
      </c>
      <c r="H2545" s="151"/>
      <c r="I2545" s="146">
        <f>G2545*I2544</f>
        <v>20033.5</v>
      </c>
    </row>
    <row r="2546" spans="1:10" ht="15.95" customHeight="1" thickBot="1" x14ac:dyDescent="0.3">
      <c r="C2546" s="111" t="s">
        <v>394</v>
      </c>
      <c r="D2546" s="112" t="s">
        <v>395</v>
      </c>
      <c r="E2546" s="134"/>
      <c r="F2546" s="134"/>
      <c r="G2546" s="156"/>
      <c r="H2546" s="136">
        <f>IF(AND(D2546&lt;&gt;"",F2546&lt;&gt;""),IF(C2546="",IF(F2546="OH",VLOOKUP(D2546,[1]UPAH!$B$3:$G$32,7,0),VLOOKUP(D2546,[1]BAHAN!$A$2:$D$3,4,0)),0),0)</f>
        <v>0</v>
      </c>
      <c r="I2546" s="137">
        <f>ROUNDDOWN(I2544+I2545,0)</f>
        <v>220368</v>
      </c>
    </row>
    <row r="2547" spans="1:10" ht="15.95" customHeight="1" x14ac:dyDescent="0.25">
      <c r="C2547" s="109"/>
      <c r="D2547" s="109"/>
      <c r="G2547" s="157"/>
      <c r="H2547" s="166"/>
      <c r="I2547" s="110"/>
    </row>
    <row r="2548" spans="1:10" ht="15.95" customHeight="1" x14ac:dyDescent="0.25">
      <c r="A2548" s="167" t="s">
        <v>817</v>
      </c>
      <c r="B2548" s="103" t="s">
        <v>818</v>
      </c>
      <c r="C2548" s="109"/>
      <c r="D2548" s="109"/>
      <c r="G2548" s="157"/>
      <c r="H2548" s="166"/>
      <c r="I2548" s="110"/>
    </row>
    <row r="2549" spans="1:10" ht="15.95" customHeight="1" thickBot="1" x14ac:dyDescent="0.3">
      <c r="B2549" s="109" t="s">
        <v>819</v>
      </c>
      <c r="C2549" s="104" t="s">
        <v>820</v>
      </c>
      <c r="G2549" s="157"/>
      <c r="J2549" s="110">
        <f>I2566</f>
        <v>397166</v>
      </c>
    </row>
    <row r="2550" spans="1:10" ht="15.95" customHeight="1" thickBot="1" x14ac:dyDescent="0.3">
      <c r="C2550" s="111" t="s">
        <v>328</v>
      </c>
      <c r="D2550" s="112" t="s">
        <v>359</v>
      </c>
      <c r="E2550" s="113" t="s">
        <v>360</v>
      </c>
      <c r="F2550" s="113" t="s">
        <v>330</v>
      </c>
      <c r="G2550" s="114" t="s">
        <v>361</v>
      </c>
      <c r="H2550" s="112" t="s">
        <v>362</v>
      </c>
      <c r="I2550" s="115" t="s">
        <v>363</v>
      </c>
    </row>
    <row r="2551" spans="1:10" ht="15.95" customHeight="1" x14ac:dyDescent="0.25">
      <c r="C2551" s="116" t="s">
        <v>364</v>
      </c>
      <c r="D2551" s="117" t="s">
        <v>365</v>
      </c>
      <c r="E2551" s="118"/>
      <c r="F2551" s="118"/>
      <c r="G2551" s="165"/>
      <c r="H2551" s="144"/>
      <c r="I2551" s="126"/>
    </row>
    <row r="2552" spans="1:10" ht="15.95" customHeight="1" x14ac:dyDescent="0.25">
      <c r="C2552" s="122"/>
      <c r="D2552" s="117" t="s">
        <v>366</v>
      </c>
      <c r="E2552" s="123" t="s">
        <v>367</v>
      </c>
      <c r="F2552" s="123" t="s">
        <v>368</v>
      </c>
      <c r="G2552" s="124">
        <v>0.6</v>
      </c>
      <c r="H2552" s="125">
        <f>VLOOKUP(D2552,Upah,8,FALSE)</f>
        <v>125000</v>
      </c>
      <c r="I2552" s="126">
        <f>G2552*H2552</f>
        <v>75000</v>
      </c>
    </row>
    <row r="2553" spans="1:10" ht="15.95" customHeight="1" x14ac:dyDescent="0.25">
      <c r="C2553" s="122"/>
      <c r="D2553" s="117" t="s">
        <v>505</v>
      </c>
      <c r="E2553" s="123" t="s">
        <v>414</v>
      </c>
      <c r="F2553" s="123" t="s">
        <v>368</v>
      </c>
      <c r="G2553" s="124">
        <v>0.2</v>
      </c>
      <c r="H2553" s="125">
        <f>VLOOKUP(D2553,Upah,8,FALSE)</f>
        <v>150000</v>
      </c>
      <c r="I2553" s="126">
        <f>G2553*H2553</f>
        <v>30000</v>
      </c>
    </row>
    <row r="2554" spans="1:10" ht="15.95" customHeight="1" x14ac:dyDescent="0.25">
      <c r="C2554" s="122"/>
      <c r="D2554" s="117" t="s">
        <v>371</v>
      </c>
      <c r="E2554" s="123" t="s">
        <v>372</v>
      </c>
      <c r="F2554" s="123" t="s">
        <v>368</v>
      </c>
      <c r="G2554" s="124">
        <v>0.02</v>
      </c>
      <c r="H2554" s="125">
        <f>VLOOKUP(D2554,Upah,8,FALSE)</f>
        <v>165000</v>
      </c>
      <c r="I2554" s="126">
        <f>G2554*H2554</f>
        <v>3300</v>
      </c>
    </row>
    <row r="2555" spans="1:10" ht="15.95" customHeight="1" thickBot="1" x14ac:dyDescent="0.3">
      <c r="C2555" s="122"/>
      <c r="D2555" s="117" t="s">
        <v>373</v>
      </c>
      <c r="E2555" s="123" t="s">
        <v>374</v>
      </c>
      <c r="F2555" s="123" t="s">
        <v>368</v>
      </c>
      <c r="G2555" s="124">
        <v>0.03</v>
      </c>
      <c r="H2555" s="125">
        <f>VLOOKUP(D2555,Upah,8,FALSE)</f>
        <v>170000</v>
      </c>
      <c r="I2555" s="126">
        <f>G2555*H2555</f>
        <v>5100</v>
      </c>
    </row>
    <row r="2556" spans="1:10" ht="15.95" customHeight="1" thickBot="1" x14ac:dyDescent="0.3">
      <c r="C2556" s="132"/>
      <c r="D2556" s="133"/>
      <c r="E2556" s="134"/>
      <c r="F2556" s="134"/>
      <c r="G2556" s="135" t="s">
        <v>375</v>
      </c>
      <c r="H2556" s="136"/>
      <c r="I2556" s="137">
        <f>SUM(I2552:I2555)</f>
        <v>113400</v>
      </c>
    </row>
    <row r="2557" spans="1:10" ht="15.95" customHeight="1" x14ac:dyDescent="0.25">
      <c r="C2557" s="116" t="s">
        <v>376</v>
      </c>
      <c r="D2557" s="117" t="s">
        <v>377</v>
      </c>
      <c r="E2557" s="118"/>
      <c r="F2557" s="118"/>
      <c r="G2557" s="165"/>
      <c r="H2557" s="144"/>
      <c r="I2557" s="126"/>
    </row>
    <row r="2558" spans="1:10" ht="15.95" customHeight="1" x14ac:dyDescent="0.25">
      <c r="C2558" s="122"/>
      <c r="D2558" s="117" t="s">
        <v>417</v>
      </c>
      <c r="E2558" s="118"/>
      <c r="F2558" s="123" t="s">
        <v>158</v>
      </c>
      <c r="G2558" s="124">
        <v>140</v>
      </c>
      <c r="H2558" s="144">
        <f>VLOOKUP(D2558,Bahan,6,FALSE)</f>
        <v>1040</v>
      </c>
      <c r="I2558" s="126">
        <f>G2558*H2558</f>
        <v>145600</v>
      </c>
    </row>
    <row r="2559" spans="1:10" ht="15.95" customHeight="1" x14ac:dyDescent="0.25">
      <c r="C2559" s="122"/>
      <c r="D2559" s="117" t="s">
        <v>380</v>
      </c>
      <c r="E2559" s="118"/>
      <c r="F2559" s="123" t="s">
        <v>159</v>
      </c>
      <c r="G2559" s="124">
        <v>43.5</v>
      </c>
      <c r="H2559" s="144">
        <f>VLOOKUP(D2559,Bahan,6,FALSE)</f>
        <v>1880</v>
      </c>
      <c r="I2559" s="126">
        <f>G2559*H2559</f>
        <v>81780</v>
      </c>
    </row>
    <row r="2560" spans="1:10" ht="15.95" customHeight="1" thickBot="1" x14ac:dyDescent="0.3">
      <c r="C2560" s="122"/>
      <c r="D2560" s="117" t="s">
        <v>493</v>
      </c>
      <c r="E2560" s="118"/>
      <c r="F2560" s="123" t="s">
        <v>158</v>
      </c>
      <c r="G2560" s="124">
        <v>0.08</v>
      </c>
      <c r="H2560" s="144">
        <f>VLOOKUP(D2560,Bahan,6,FALSE)</f>
        <v>253510</v>
      </c>
      <c r="I2560" s="126">
        <f>G2560*H2560</f>
        <v>20280.8</v>
      </c>
    </row>
    <row r="2561" spans="2:10" ht="15.95" customHeight="1" thickBot="1" x14ac:dyDescent="0.3">
      <c r="C2561" s="132"/>
      <c r="D2561" s="133"/>
      <c r="E2561" s="134"/>
      <c r="F2561" s="134"/>
      <c r="G2561" s="135" t="s">
        <v>386</v>
      </c>
      <c r="H2561" s="136"/>
      <c r="I2561" s="137">
        <f>SUM(I2558:I2560)</f>
        <v>247660.79999999999</v>
      </c>
    </row>
    <row r="2562" spans="2:10" ht="15.95" customHeight="1" thickBot="1" x14ac:dyDescent="0.3">
      <c r="C2562" s="116" t="s">
        <v>387</v>
      </c>
      <c r="D2562" s="117" t="s">
        <v>388</v>
      </c>
      <c r="E2562" s="118"/>
      <c r="F2562" s="118"/>
      <c r="G2562" s="165"/>
      <c r="H2562" s="144">
        <f>IF(AND(D2562&lt;&gt;"",F2562&lt;&gt;""),IF(C2562="",IF(F2562="OH",VLOOKUP(D2562,[1]UPAH!$B$3:$G$32,7,0),VLOOKUP(D2562,[1]BAHAN!$A$2:$D$3,4,0)),0),0)</f>
        <v>0</v>
      </c>
      <c r="I2562" s="126">
        <f>G2562*H2562</f>
        <v>0</v>
      </c>
    </row>
    <row r="2563" spans="2:10" ht="15.95" customHeight="1" thickBot="1" x14ac:dyDescent="0.3">
      <c r="C2563" s="132"/>
      <c r="D2563" s="133"/>
      <c r="E2563" s="134"/>
      <c r="F2563" s="134"/>
      <c r="G2563" s="135" t="s">
        <v>389</v>
      </c>
      <c r="H2563" s="136"/>
      <c r="I2563" s="137">
        <f>I2562</f>
        <v>0</v>
      </c>
    </row>
    <row r="2564" spans="2:10" ht="15.95" customHeight="1" x14ac:dyDescent="0.25">
      <c r="C2564" s="158" t="s">
        <v>390</v>
      </c>
      <c r="D2564" s="159" t="s">
        <v>391</v>
      </c>
      <c r="E2564" s="160"/>
      <c r="F2564" s="160"/>
      <c r="G2564" s="161"/>
      <c r="H2564" s="162">
        <f>IF(AND(D2564&lt;&gt;"",F2564&lt;&gt;""),IF(C2564="",IF(F2564="OH",VLOOKUP(D2564,[1]UPAH!$B$3:$G$32,7,0),VLOOKUP(D2564,[1]BAHAN!$A$2:$D$3,4,0)),0),0)</f>
        <v>0</v>
      </c>
      <c r="I2564" s="126">
        <f>SUM(I2551:I2563)/2</f>
        <v>361060.8</v>
      </c>
    </row>
    <row r="2565" spans="2:10" ht="15.95" customHeight="1" thickBot="1" x14ac:dyDescent="0.3">
      <c r="C2565" s="147" t="s">
        <v>392</v>
      </c>
      <c r="D2565" s="148" t="s">
        <v>393</v>
      </c>
      <c r="E2565" s="149"/>
      <c r="F2565" s="149"/>
      <c r="G2565" s="164">
        <v>0.1</v>
      </c>
      <c r="H2565" s="151"/>
      <c r="I2565" s="146">
        <f>G2565*I2564</f>
        <v>36106.080000000002</v>
      </c>
    </row>
    <row r="2566" spans="2:10" ht="15.95" customHeight="1" thickBot="1" x14ac:dyDescent="0.3">
      <c r="C2566" s="111" t="s">
        <v>394</v>
      </c>
      <c r="D2566" s="112" t="s">
        <v>395</v>
      </c>
      <c r="E2566" s="134"/>
      <c r="F2566" s="134"/>
      <c r="G2566" s="156"/>
      <c r="H2566" s="136">
        <f>IF(AND(D2566&lt;&gt;"",F2566&lt;&gt;""),IF(C2566="",IF(F2566="OH",VLOOKUP(D2566,[1]UPAH!$B$3:$G$32,7,0),VLOOKUP(D2566,[1]BAHAN!$A$2:$D$3,4,0)),0),0)</f>
        <v>0</v>
      </c>
      <c r="I2566" s="137">
        <f>ROUNDDOWN(I2564+I2565,0)</f>
        <v>397166</v>
      </c>
    </row>
    <row r="2567" spans="2:10" ht="15.95" customHeight="1" x14ac:dyDescent="0.25">
      <c r="C2567" s="109"/>
      <c r="D2567" s="109"/>
      <c r="G2567" s="157"/>
    </row>
    <row r="2568" spans="2:10" ht="15.95" customHeight="1" thickBot="1" x14ac:dyDescent="0.3">
      <c r="B2568" s="109" t="s">
        <v>821</v>
      </c>
      <c r="C2568" s="104" t="s">
        <v>822</v>
      </c>
      <c r="G2568" s="157"/>
      <c r="J2568" s="110">
        <f>I2585</f>
        <v>378416</v>
      </c>
    </row>
    <row r="2569" spans="2:10" ht="15.95" customHeight="1" thickBot="1" x14ac:dyDescent="0.3">
      <c r="C2569" s="111" t="s">
        <v>328</v>
      </c>
      <c r="D2569" s="112" t="s">
        <v>359</v>
      </c>
      <c r="E2569" s="113" t="s">
        <v>360</v>
      </c>
      <c r="F2569" s="113" t="s">
        <v>330</v>
      </c>
      <c r="G2569" s="114" t="s">
        <v>361</v>
      </c>
      <c r="H2569" s="112" t="s">
        <v>362</v>
      </c>
      <c r="I2569" s="115" t="s">
        <v>363</v>
      </c>
    </row>
    <row r="2570" spans="2:10" ht="15.95" customHeight="1" x14ac:dyDescent="0.25">
      <c r="C2570" s="116" t="s">
        <v>364</v>
      </c>
      <c r="D2570" s="117" t="s">
        <v>365</v>
      </c>
      <c r="E2570" s="118"/>
      <c r="F2570" s="118"/>
      <c r="G2570" s="165"/>
      <c r="H2570" s="144"/>
      <c r="I2570" s="126"/>
    </row>
    <row r="2571" spans="2:10" ht="15.95" customHeight="1" x14ac:dyDescent="0.25">
      <c r="C2571" s="122"/>
      <c r="D2571" s="117" t="s">
        <v>366</v>
      </c>
      <c r="E2571" s="123" t="s">
        <v>367</v>
      </c>
      <c r="F2571" s="123" t="s">
        <v>368</v>
      </c>
      <c r="G2571" s="124">
        <v>0.6</v>
      </c>
      <c r="H2571" s="125">
        <f>VLOOKUP(D2571,Upah,8,FALSE)</f>
        <v>125000</v>
      </c>
      <c r="I2571" s="126">
        <f>G2571*H2571</f>
        <v>75000</v>
      </c>
    </row>
    <row r="2572" spans="2:10" ht="15.95" customHeight="1" x14ac:dyDescent="0.25">
      <c r="C2572" s="122"/>
      <c r="D2572" s="117" t="s">
        <v>505</v>
      </c>
      <c r="E2572" s="123" t="s">
        <v>414</v>
      </c>
      <c r="F2572" s="123" t="s">
        <v>368</v>
      </c>
      <c r="G2572" s="124">
        <v>0.2</v>
      </c>
      <c r="H2572" s="125">
        <f>VLOOKUP(D2572,Upah,8,FALSE)</f>
        <v>150000</v>
      </c>
      <c r="I2572" s="126">
        <f>G2572*H2572</f>
        <v>30000</v>
      </c>
    </row>
    <row r="2573" spans="2:10" ht="15.95" customHeight="1" x14ac:dyDescent="0.25">
      <c r="C2573" s="122"/>
      <c r="D2573" s="117" t="s">
        <v>371</v>
      </c>
      <c r="E2573" s="123" t="s">
        <v>372</v>
      </c>
      <c r="F2573" s="123" t="s">
        <v>368</v>
      </c>
      <c r="G2573" s="124">
        <v>0.02</v>
      </c>
      <c r="H2573" s="125">
        <f>VLOOKUP(D2573,Upah,8,FALSE)</f>
        <v>165000</v>
      </c>
      <c r="I2573" s="126">
        <f>G2573*H2573</f>
        <v>3300</v>
      </c>
    </row>
    <row r="2574" spans="2:10" ht="15.95" customHeight="1" thickBot="1" x14ac:dyDescent="0.3">
      <c r="C2574" s="122"/>
      <c r="D2574" s="117" t="s">
        <v>373</v>
      </c>
      <c r="E2574" s="123" t="s">
        <v>374</v>
      </c>
      <c r="F2574" s="123" t="s">
        <v>368</v>
      </c>
      <c r="G2574" s="124">
        <v>0.03</v>
      </c>
      <c r="H2574" s="125">
        <f>VLOOKUP(D2574,Upah,8,FALSE)</f>
        <v>170000</v>
      </c>
      <c r="I2574" s="126">
        <f>G2574*H2574</f>
        <v>5100</v>
      </c>
    </row>
    <row r="2575" spans="2:10" ht="15.95" customHeight="1" thickBot="1" x14ac:dyDescent="0.3">
      <c r="C2575" s="132"/>
      <c r="D2575" s="133"/>
      <c r="E2575" s="134"/>
      <c r="F2575" s="134"/>
      <c r="G2575" s="135" t="s">
        <v>375</v>
      </c>
      <c r="H2575" s="136"/>
      <c r="I2575" s="137">
        <f>SUM(I2571:I2574)</f>
        <v>113400</v>
      </c>
    </row>
    <row r="2576" spans="2:10" ht="15.95" customHeight="1" x14ac:dyDescent="0.25">
      <c r="C2576" s="116" t="s">
        <v>376</v>
      </c>
      <c r="D2576" s="117" t="s">
        <v>377</v>
      </c>
      <c r="E2576" s="118"/>
      <c r="F2576" s="118"/>
      <c r="G2576" s="165"/>
      <c r="H2576" s="144"/>
      <c r="I2576" s="126"/>
    </row>
    <row r="2577" spans="2:10" ht="15.95" customHeight="1" x14ac:dyDescent="0.25">
      <c r="C2577" s="122"/>
      <c r="D2577" s="117" t="s">
        <v>417</v>
      </c>
      <c r="E2577" s="118"/>
      <c r="F2577" s="123" t="s">
        <v>158</v>
      </c>
      <c r="G2577" s="124">
        <v>140</v>
      </c>
      <c r="H2577" s="144">
        <f>VLOOKUP(D2577,Bahan,6,FALSE)</f>
        <v>1040</v>
      </c>
      <c r="I2577" s="126">
        <f>G2577*H2577</f>
        <v>145600</v>
      </c>
    </row>
    <row r="2578" spans="2:10" ht="15.95" customHeight="1" x14ac:dyDescent="0.25">
      <c r="C2578" s="122"/>
      <c r="D2578" s="117" t="s">
        <v>380</v>
      </c>
      <c r="E2578" s="118"/>
      <c r="F2578" s="123" t="s">
        <v>159</v>
      </c>
      <c r="G2578" s="124">
        <v>32.950000000000003</v>
      </c>
      <c r="H2578" s="144">
        <f>VLOOKUP(D2578,Bahan,6,FALSE)</f>
        <v>1880</v>
      </c>
      <c r="I2578" s="126">
        <f>G2578*H2578</f>
        <v>61946.000000000007</v>
      </c>
    </row>
    <row r="2579" spans="2:10" ht="15.95" customHeight="1" thickBot="1" x14ac:dyDescent="0.3">
      <c r="C2579" s="122"/>
      <c r="D2579" s="117" t="s">
        <v>493</v>
      </c>
      <c r="E2579" s="118"/>
      <c r="F2579" s="123" t="s">
        <v>158</v>
      </c>
      <c r="G2579" s="124">
        <v>9.0999999999999998E-2</v>
      </c>
      <c r="H2579" s="144">
        <f>VLOOKUP(D2579,Bahan,6,FALSE)</f>
        <v>253510</v>
      </c>
      <c r="I2579" s="126">
        <f>G2579*H2579</f>
        <v>23069.41</v>
      </c>
    </row>
    <row r="2580" spans="2:10" ht="15.95" customHeight="1" thickBot="1" x14ac:dyDescent="0.3">
      <c r="C2580" s="132"/>
      <c r="D2580" s="133"/>
      <c r="E2580" s="134"/>
      <c r="F2580" s="134"/>
      <c r="G2580" s="135" t="s">
        <v>386</v>
      </c>
      <c r="H2580" s="136"/>
      <c r="I2580" s="137">
        <f>SUM(I2577:I2579)</f>
        <v>230615.41</v>
      </c>
    </row>
    <row r="2581" spans="2:10" ht="15.95" customHeight="1" thickBot="1" x14ac:dyDescent="0.3">
      <c r="C2581" s="116" t="s">
        <v>387</v>
      </c>
      <c r="D2581" s="117" t="s">
        <v>388</v>
      </c>
      <c r="E2581" s="118"/>
      <c r="F2581" s="118"/>
      <c r="G2581" s="165"/>
      <c r="H2581" s="144">
        <f>IF(AND(D2581&lt;&gt;"",F2581&lt;&gt;""),IF(C2581="",IF(F2581="OH",VLOOKUP(D2581,[1]UPAH!$B$3:$G$32,7,0),VLOOKUP(D2581,[1]BAHAN!$A$2:$D$3,4,0)),0),0)</f>
        <v>0</v>
      </c>
      <c r="I2581" s="126">
        <f>G2581*H2581</f>
        <v>0</v>
      </c>
    </row>
    <row r="2582" spans="2:10" ht="15.95" customHeight="1" thickBot="1" x14ac:dyDescent="0.3">
      <c r="C2582" s="132"/>
      <c r="D2582" s="133"/>
      <c r="E2582" s="134"/>
      <c r="F2582" s="134"/>
      <c r="G2582" s="135" t="s">
        <v>389</v>
      </c>
      <c r="H2582" s="136"/>
      <c r="I2582" s="137">
        <f>I2581</f>
        <v>0</v>
      </c>
    </row>
    <row r="2583" spans="2:10" ht="15.95" customHeight="1" x14ac:dyDescent="0.25">
      <c r="C2583" s="158" t="s">
        <v>390</v>
      </c>
      <c r="D2583" s="159" t="s">
        <v>391</v>
      </c>
      <c r="E2583" s="160"/>
      <c r="F2583" s="160"/>
      <c r="G2583" s="161"/>
      <c r="H2583" s="162">
        <f>IF(AND(D2583&lt;&gt;"",F2583&lt;&gt;""),IF(C2583="",IF(F2583="OH",VLOOKUP(D2583,[1]UPAH!$B$3:$G$32,7,0),VLOOKUP(D2583,[1]BAHAN!$A$2:$D$3,4,0)),0),0)</f>
        <v>0</v>
      </c>
      <c r="I2583" s="126">
        <f>SUM(I2570:I2582)/2</f>
        <v>344015.41</v>
      </c>
    </row>
    <row r="2584" spans="2:10" ht="15.95" customHeight="1" thickBot="1" x14ac:dyDescent="0.3">
      <c r="C2584" s="147" t="s">
        <v>392</v>
      </c>
      <c r="D2584" s="148" t="s">
        <v>393</v>
      </c>
      <c r="E2584" s="149"/>
      <c r="F2584" s="149"/>
      <c r="G2584" s="164">
        <v>0.1</v>
      </c>
      <c r="H2584" s="151"/>
      <c r="I2584" s="146">
        <f>G2584*I2583</f>
        <v>34401.540999999997</v>
      </c>
    </row>
    <row r="2585" spans="2:10" ht="15.95" customHeight="1" thickBot="1" x14ac:dyDescent="0.3">
      <c r="C2585" s="111" t="s">
        <v>394</v>
      </c>
      <c r="D2585" s="112" t="s">
        <v>395</v>
      </c>
      <c r="E2585" s="134"/>
      <c r="F2585" s="134"/>
      <c r="G2585" s="156"/>
      <c r="H2585" s="136">
        <f>IF(AND(D2585&lt;&gt;"",F2585&lt;&gt;""),IF(C2585="",IF(F2585="OH",VLOOKUP(D2585,[1]UPAH!$B$3:$G$32,7,0),VLOOKUP(D2585,[1]BAHAN!$A$2:$D$3,4,0)),0),0)</f>
        <v>0</v>
      </c>
      <c r="I2585" s="137">
        <f>ROUNDDOWN(I2583+I2584,0)</f>
        <v>378416</v>
      </c>
    </row>
    <row r="2586" spans="2:10" ht="15.95" customHeight="1" x14ac:dyDescent="0.25">
      <c r="C2586" s="109"/>
      <c r="D2586" s="109"/>
      <c r="G2586" s="157"/>
    </row>
    <row r="2587" spans="2:10" ht="15.95" customHeight="1" thickBot="1" x14ac:dyDescent="0.3">
      <c r="B2587" s="109" t="s">
        <v>823</v>
      </c>
      <c r="C2587" s="104" t="s">
        <v>824</v>
      </c>
      <c r="G2587" s="157"/>
      <c r="J2587" s="110">
        <f>I2604</f>
        <v>365739</v>
      </c>
    </row>
    <row r="2588" spans="2:10" ht="15.95" customHeight="1" thickBot="1" x14ac:dyDescent="0.3">
      <c r="C2588" s="229" t="s">
        <v>328</v>
      </c>
      <c r="D2588" s="112" t="s">
        <v>359</v>
      </c>
      <c r="E2588" s="113" t="s">
        <v>360</v>
      </c>
      <c r="F2588" s="113" t="s">
        <v>330</v>
      </c>
      <c r="G2588" s="114" t="s">
        <v>361</v>
      </c>
      <c r="H2588" s="112" t="s">
        <v>362</v>
      </c>
      <c r="I2588" s="115" t="s">
        <v>363</v>
      </c>
    </row>
    <row r="2589" spans="2:10" ht="15.95" customHeight="1" x14ac:dyDescent="0.25">
      <c r="C2589" s="116" t="s">
        <v>364</v>
      </c>
      <c r="D2589" s="117" t="s">
        <v>365</v>
      </c>
      <c r="E2589" s="118"/>
      <c r="F2589" s="118"/>
      <c r="G2589" s="165"/>
      <c r="H2589" s="144"/>
      <c r="I2589" s="126"/>
    </row>
    <row r="2590" spans="2:10" ht="15.95" customHeight="1" x14ac:dyDescent="0.25">
      <c r="C2590" s="122"/>
      <c r="D2590" s="117" t="s">
        <v>366</v>
      </c>
      <c r="E2590" s="123" t="s">
        <v>367</v>
      </c>
      <c r="F2590" s="123" t="s">
        <v>368</v>
      </c>
      <c r="G2590" s="124">
        <v>0.6</v>
      </c>
      <c r="H2590" s="125">
        <f>VLOOKUP(D2590,Upah,8,FALSE)</f>
        <v>125000</v>
      </c>
      <c r="I2590" s="126">
        <f>G2590*H2590</f>
        <v>75000</v>
      </c>
    </row>
    <row r="2591" spans="2:10" ht="15.95" customHeight="1" x14ac:dyDescent="0.25">
      <c r="C2591" s="122"/>
      <c r="D2591" s="117" t="s">
        <v>505</v>
      </c>
      <c r="E2591" s="123" t="s">
        <v>414</v>
      </c>
      <c r="F2591" s="123" t="s">
        <v>368</v>
      </c>
      <c r="G2591" s="124">
        <v>0.2</v>
      </c>
      <c r="H2591" s="125">
        <f>VLOOKUP(D2591,Upah,8,FALSE)</f>
        <v>150000</v>
      </c>
      <c r="I2591" s="126">
        <f>G2591*H2591</f>
        <v>30000</v>
      </c>
    </row>
    <row r="2592" spans="2:10" ht="15.95" customHeight="1" x14ac:dyDescent="0.25">
      <c r="C2592" s="122"/>
      <c r="D2592" s="117" t="s">
        <v>371</v>
      </c>
      <c r="E2592" s="123" t="s">
        <v>372</v>
      </c>
      <c r="F2592" s="123" t="s">
        <v>368</v>
      </c>
      <c r="G2592" s="124">
        <v>0.02</v>
      </c>
      <c r="H2592" s="125">
        <f>VLOOKUP(D2592,Upah,8,FALSE)</f>
        <v>165000</v>
      </c>
      <c r="I2592" s="126">
        <f>G2592*H2592</f>
        <v>3300</v>
      </c>
    </row>
    <row r="2593" spans="2:10" ht="15.95" customHeight="1" thickBot="1" x14ac:dyDescent="0.3">
      <c r="C2593" s="122"/>
      <c r="D2593" s="117" t="s">
        <v>373</v>
      </c>
      <c r="E2593" s="123" t="s">
        <v>374</v>
      </c>
      <c r="F2593" s="123" t="s">
        <v>368</v>
      </c>
      <c r="G2593" s="124">
        <v>0.03</v>
      </c>
      <c r="H2593" s="125">
        <f>VLOOKUP(D2593,Upah,8,FALSE)</f>
        <v>170000</v>
      </c>
      <c r="I2593" s="126">
        <f>G2593*H2593</f>
        <v>5100</v>
      </c>
    </row>
    <row r="2594" spans="2:10" ht="15.95" customHeight="1" thickBot="1" x14ac:dyDescent="0.3">
      <c r="C2594" s="132"/>
      <c r="D2594" s="133"/>
      <c r="E2594" s="134"/>
      <c r="F2594" s="134"/>
      <c r="G2594" s="135" t="s">
        <v>375</v>
      </c>
      <c r="H2594" s="136"/>
      <c r="I2594" s="137">
        <f>SUM(I2590:I2593)</f>
        <v>113400</v>
      </c>
    </row>
    <row r="2595" spans="2:10" ht="15.95" customHeight="1" x14ac:dyDescent="0.25">
      <c r="C2595" s="116" t="s">
        <v>376</v>
      </c>
      <c r="D2595" s="117" t="s">
        <v>377</v>
      </c>
      <c r="E2595" s="118"/>
      <c r="F2595" s="118"/>
      <c r="G2595" s="165"/>
      <c r="H2595" s="144"/>
      <c r="I2595" s="126"/>
    </row>
    <row r="2596" spans="2:10" ht="15.95" customHeight="1" x14ac:dyDescent="0.25">
      <c r="C2596" s="122"/>
      <c r="D2596" s="117" t="s">
        <v>417</v>
      </c>
      <c r="E2596" s="118"/>
      <c r="F2596" s="123" t="s">
        <v>158</v>
      </c>
      <c r="G2596" s="124">
        <v>140</v>
      </c>
      <c r="H2596" s="144">
        <f>VLOOKUP(D2596,Bahan,6,FALSE)</f>
        <v>1040</v>
      </c>
      <c r="I2596" s="126">
        <f>G2596*H2596</f>
        <v>145600</v>
      </c>
    </row>
    <row r="2597" spans="2:10" ht="15.95" customHeight="1" x14ac:dyDescent="0.25">
      <c r="C2597" s="122"/>
      <c r="D2597" s="117" t="s">
        <v>380</v>
      </c>
      <c r="E2597" s="118"/>
      <c r="F2597" s="123" t="s">
        <v>159</v>
      </c>
      <c r="G2597" s="124">
        <v>26.55</v>
      </c>
      <c r="H2597" s="144">
        <f>VLOOKUP(D2597,Bahan,6,FALSE)</f>
        <v>1880</v>
      </c>
      <c r="I2597" s="126">
        <f>G2597*H2597</f>
        <v>49914</v>
      </c>
    </row>
    <row r="2598" spans="2:10" ht="15.95" customHeight="1" thickBot="1" x14ac:dyDescent="0.3">
      <c r="C2598" s="122"/>
      <c r="D2598" s="117" t="s">
        <v>493</v>
      </c>
      <c r="E2598" s="118"/>
      <c r="F2598" s="123" t="s">
        <v>158</v>
      </c>
      <c r="G2598" s="124">
        <v>9.2999999999999999E-2</v>
      </c>
      <c r="H2598" s="144">
        <f>VLOOKUP(D2598,Bahan,6,FALSE)</f>
        <v>253510</v>
      </c>
      <c r="I2598" s="126">
        <f>G2598*H2598</f>
        <v>23576.43</v>
      </c>
    </row>
    <row r="2599" spans="2:10" ht="15.95" customHeight="1" thickBot="1" x14ac:dyDescent="0.3">
      <c r="C2599" s="132"/>
      <c r="D2599" s="133"/>
      <c r="E2599" s="134"/>
      <c r="F2599" s="134"/>
      <c r="G2599" s="135" t="s">
        <v>386</v>
      </c>
      <c r="H2599" s="136"/>
      <c r="I2599" s="137">
        <f>SUM(I2596:I2598)</f>
        <v>219090.43</v>
      </c>
    </row>
    <row r="2600" spans="2:10" ht="15.95" customHeight="1" thickBot="1" x14ac:dyDescent="0.3">
      <c r="C2600" s="116" t="s">
        <v>387</v>
      </c>
      <c r="D2600" s="117" t="s">
        <v>388</v>
      </c>
      <c r="E2600" s="118"/>
      <c r="F2600" s="118"/>
      <c r="G2600" s="165"/>
      <c r="H2600" s="144">
        <f>IF(AND(D2600&lt;&gt;"",F2600&lt;&gt;""),IF(C2600="",IF(F2600="OH",VLOOKUP(D2600,[1]UPAH!$B$3:$G$32,7,0),VLOOKUP(D2600,[1]BAHAN!$A$2:$D$3,4,0)),0),0)</f>
        <v>0</v>
      </c>
      <c r="I2600" s="126">
        <f>G2600*H2600</f>
        <v>0</v>
      </c>
    </row>
    <row r="2601" spans="2:10" ht="15.95" customHeight="1" thickBot="1" x14ac:dyDescent="0.3">
      <c r="C2601" s="132"/>
      <c r="D2601" s="133"/>
      <c r="E2601" s="134"/>
      <c r="F2601" s="134"/>
      <c r="G2601" s="135" t="s">
        <v>389</v>
      </c>
      <c r="H2601" s="136"/>
      <c r="I2601" s="137">
        <f>I2600</f>
        <v>0</v>
      </c>
    </row>
    <row r="2602" spans="2:10" ht="15.95" customHeight="1" x14ac:dyDescent="0.25">
      <c r="C2602" s="158" t="s">
        <v>390</v>
      </c>
      <c r="D2602" s="159" t="s">
        <v>391</v>
      </c>
      <c r="E2602" s="160"/>
      <c r="F2602" s="160"/>
      <c r="G2602" s="161"/>
      <c r="H2602" s="162">
        <f>IF(AND(D2602&lt;&gt;"",F2602&lt;&gt;""),IF(C2602="",IF(F2602="OH",VLOOKUP(D2602,[1]UPAH!$B$3:$G$32,7,0),VLOOKUP(D2602,[1]BAHAN!$A$2:$D$3,4,0)),0),0)</f>
        <v>0</v>
      </c>
      <c r="I2602" s="126">
        <f>SUM(I2589:I2601)/2</f>
        <v>332490.43</v>
      </c>
    </row>
    <row r="2603" spans="2:10" ht="15.95" customHeight="1" thickBot="1" x14ac:dyDescent="0.3">
      <c r="C2603" s="147" t="s">
        <v>392</v>
      </c>
      <c r="D2603" s="148" t="s">
        <v>393</v>
      </c>
      <c r="E2603" s="149"/>
      <c r="F2603" s="149"/>
      <c r="G2603" s="164">
        <v>0.1</v>
      </c>
      <c r="H2603" s="151"/>
      <c r="I2603" s="146">
        <f>G2603*I2602</f>
        <v>33249.042999999998</v>
      </c>
    </row>
    <row r="2604" spans="2:10" ht="15.95" customHeight="1" thickBot="1" x14ac:dyDescent="0.3">
      <c r="C2604" s="111" t="s">
        <v>394</v>
      </c>
      <c r="D2604" s="112" t="s">
        <v>395</v>
      </c>
      <c r="E2604" s="134"/>
      <c r="F2604" s="134"/>
      <c r="G2604" s="156"/>
      <c r="H2604" s="136">
        <f>IF(AND(D2604&lt;&gt;"",F2604&lt;&gt;""),IF(C2604="",IF(F2604="OH",VLOOKUP(D2604,[1]UPAH!$B$3:$G$32,7,0),VLOOKUP(D2604,[1]BAHAN!$A$2:$D$3,4,0)),0),0)</f>
        <v>0</v>
      </c>
      <c r="I2604" s="137">
        <f>ROUNDDOWN(I2602+I2603,0)</f>
        <v>365739</v>
      </c>
    </row>
    <row r="2605" spans="2:10" ht="15.95" customHeight="1" x14ac:dyDescent="0.25">
      <c r="C2605" s="109"/>
      <c r="D2605" s="109"/>
      <c r="G2605" s="157"/>
    </row>
    <row r="2606" spans="2:10" ht="15.95" customHeight="1" thickBot="1" x14ac:dyDescent="0.3">
      <c r="B2606" s="109" t="s">
        <v>825</v>
      </c>
      <c r="C2606" s="104" t="s">
        <v>826</v>
      </c>
      <c r="G2606" s="157"/>
      <c r="J2606" s="110">
        <f>I2623</f>
        <v>359253</v>
      </c>
    </row>
    <row r="2607" spans="2:10" ht="15.95" customHeight="1" thickBot="1" x14ac:dyDescent="0.3">
      <c r="C2607" s="111" t="s">
        <v>328</v>
      </c>
      <c r="D2607" s="112" t="s">
        <v>359</v>
      </c>
      <c r="E2607" s="113" t="s">
        <v>360</v>
      </c>
      <c r="F2607" s="113" t="s">
        <v>330</v>
      </c>
      <c r="G2607" s="114" t="s">
        <v>361</v>
      </c>
      <c r="H2607" s="112" t="s">
        <v>362</v>
      </c>
      <c r="I2607" s="115" t="s">
        <v>363</v>
      </c>
    </row>
    <row r="2608" spans="2:10" ht="15.95" customHeight="1" x14ac:dyDescent="0.25">
      <c r="C2608" s="116" t="s">
        <v>364</v>
      </c>
      <c r="D2608" s="117" t="s">
        <v>365</v>
      </c>
      <c r="E2608" s="118"/>
      <c r="F2608" s="118"/>
      <c r="G2608" s="165"/>
      <c r="H2608" s="144"/>
      <c r="I2608" s="126"/>
    </row>
    <row r="2609" spans="3:9" ht="15.95" customHeight="1" x14ac:dyDescent="0.25">
      <c r="C2609" s="122"/>
      <c r="D2609" s="117" t="s">
        <v>366</v>
      </c>
      <c r="E2609" s="123" t="s">
        <v>367</v>
      </c>
      <c r="F2609" s="123" t="s">
        <v>368</v>
      </c>
      <c r="G2609" s="124">
        <v>0.6</v>
      </c>
      <c r="H2609" s="125">
        <f>VLOOKUP(D2609,Upah,8,FALSE)</f>
        <v>125000</v>
      </c>
      <c r="I2609" s="126">
        <f>G2609*H2609</f>
        <v>75000</v>
      </c>
    </row>
    <row r="2610" spans="3:9" ht="15.95" customHeight="1" x14ac:dyDescent="0.25">
      <c r="C2610" s="122"/>
      <c r="D2610" s="117" t="s">
        <v>505</v>
      </c>
      <c r="E2610" s="123" t="s">
        <v>414</v>
      </c>
      <c r="F2610" s="123" t="s">
        <v>368</v>
      </c>
      <c r="G2610" s="124">
        <v>0.2</v>
      </c>
      <c r="H2610" s="125">
        <f>VLOOKUP(D2610,Upah,8,FALSE)</f>
        <v>150000</v>
      </c>
      <c r="I2610" s="126">
        <f>G2610*H2610</f>
        <v>30000</v>
      </c>
    </row>
    <row r="2611" spans="3:9" ht="15.95" customHeight="1" x14ac:dyDescent="0.25">
      <c r="C2611" s="122"/>
      <c r="D2611" s="117" t="s">
        <v>371</v>
      </c>
      <c r="E2611" s="123" t="s">
        <v>372</v>
      </c>
      <c r="F2611" s="123" t="s">
        <v>368</v>
      </c>
      <c r="G2611" s="124">
        <v>0.02</v>
      </c>
      <c r="H2611" s="125">
        <f>VLOOKUP(D2611,Upah,8,FALSE)</f>
        <v>165000</v>
      </c>
      <c r="I2611" s="126">
        <f>G2611*H2611</f>
        <v>3300</v>
      </c>
    </row>
    <row r="2612" spans="3:9" ht="15.95" customHeight="1" thickBot="1" x14ac:dyDescent="0.3">
      <c r="C2612" s="122"/>
      <c r="D2612" s="117" t="s">
        <v>373</v>
      </c>
      <c r="E2612" s="123" t="s">
        <v>374</v>
      </c>
      <c r="F2612" s="123" t="s">
        <v>368</v>
      </c>
      <c r="G2612" s="124">
        <v>0.03</v>
      </c>
      <c r="H2612" s="125">
        <f>VLOOKUP(D2612,Upah,8,FALSE)</f>
        <v>170000</v>
      </c>
      <c r="I2612" s="126">
        <f>G2612*H2612</f>
        <v>5100</v>
      </c>
    </row>
    <row r="2613" spans="3:9" ht="15.95" customHeight="1" thickBot="1" x14ac:dyDescent="0.3">
      <c r="C2613" s="132"/>
      <c r="D2613" s="133"/>
      <c r="E2613" s="134"/>
      <c r="F2613" s="134"/>
      <c r="G2613" s="135" t="s">
        <v>375</v>
      </c>
      <c r="H2613" s="136"/>
      <c r="I2613" s="137">
        <f>SUM(I2609:I2612)</f>
        <v>113400</v>
      </c>
    </row>
    <row r="2614" spans="3:9" ht="15.95" customHeight="1" x14ac:dyDescent="0.25">
      <c r="C2614" s="116" t="s">
        <v>376</v>
      </c>
      <c r="D2614" s="117" t="s">
        <v>377</v>
      </c>
      <c r="E2614" s="118"/>
      <c r="F2614" s="118"/>
      <c r="G2614" s="165"/>
      <c r="H2614" s="144"/>
      <c r="I2614" s="126"/>
    </row>
    <row r="2615" spans="3:9" ht="15.95" customHeight="1" x14ac:dyDescent="0.25">
      <c r="C2615" s="122"/>
      <c r="D2615" s="117" t="s">
        <v>417</v>
      </c>
      <c r="E2615" s="118"/>
      <c r="F2615" s="123" t="s">
        <v>130</v>
      </c>
      <c r="G2615" s="124">
        <v>140</v>
      </c>
      <c r="H2615" s="144">
        <f>VLOOKUP(D2615,Bahan,6,FALSE)</f>
        <v>1040</v>
      </c>
      <c r="I2615" s="126">
        <f>G2615*H2615</f>
        <v>145600</v>
      </c>
    </row>
    <row r="2616" spans="3:9" ht="15.95" customHeight="1" x14ac:dyDescent="0.25">
      <c r="C2616" s="122"/>
      <c r="D2616" s="117" t="s">
        <v>380</v>
      </c>
      <c r="E2616" s="118"/>
      <c r="F2616" s="123" t="s">
        <v>159</v>
      </c>
      <c r="G2616" s="124">
        <v>22.2</v>
      </c>
      <c r="H2616" s="144">
        <f>VLOOKUP(D2616,Bahan,6,FALSE)</f>
        <v>1880</v>
      </c>
      <c r="I2616" s="126">
        <f>G2616*H2616</f>
        <v>41736</v>
      </c>
    </row>
    <row r="2617" spans="3:9" ht="15.95" customHeight="1" thickBot="1" x14ac:dyDescent="0.3">
      <c r="C2617" s="122"/>
      <c r="D2617" s="117" t="s">
        <v>493</v>
      </c>
      <c r="E2617" s="118"/>
      <c r="F2617" s="123" t="s">
        <v>158</v>
      </c>
      <c r="G2617" s="124">
        <v>0.10199999999999999</v>
      </c>
      <c r="H2617" s="144">
        <f>VLOOKUP(D2617,Bahan,6,FALSE)</f>
        <v>253510</v>
      </c>
      <c r="I2617" s="126">
        <f>G2617*H2617</f>
        <v>25858.019999999997</v>
      </c>
    </row>
    <row r="2618" spans="3:9" ht="15.95" customHeight="1" thickBot="1" x14ac:dyDescent="0.3">
      <c r="C2618" s="132"/>
      <c r="D2618" s="133"/>
      <c r="E2618" s="134"/>
      <c r="F2618" s="134"/>
      <c r="G2618" s="135" t="s">
        <v>386</v>
      </c>
      <c r="H2618" s="136"/>
      <c r="I2618" s="137">
        <f>SUM(I2615:I2617)</f>
        <v>213194.02</v>
      </c>
    </row>
    <row r="2619" spans="3:9" ht="15.95" customHeight="1" thickBot="1" x14ac:dyDescent="0.3">
      <c r="C2619" s="116" t="s">
        <v>387</v>
      </c>
      <c r="D2619" s="117" t="s">
        <v>388</v>
      </c>
      <c r="E2619" s="118"/>
      <c r="F2619" s="118"/>
      <c r="G2619" s="165"/>
      <c r="H2619" s="144">
        <f>IF(AND(D2619&lt;&gt;"",F2619&lt;&gt;""),IF(C2619="",IF(F2619="OH",VLOOKUP(D2619,[1]UPAH!$B$3:$G$32,7,0),VLOOKUP(D2619,[1]BAHAN!$A$2:$D$3,4,0)),0),0)</f>
        <v>0</v>
      </c>
      <c r="I2619" s="126">
        <f>G2619*H2619</f>
        <v>0</v>
      </c>
    </row>
    <row r="2620" spans="3:9" ht="15.95" customHeight="1" thickBot="1" x14ac:dyDescent="0.3">
      <c r="C2620" s="132"/>
      <c r="D2620" s="133"/>
      <c r="E2620" s="134"/>
      <c r="F2620" s="134"/>
      <c r="G2620" s="135" t="s">
        <v>389</v>
      </c>
      <c r="H2620" s="136"/>
      <c r="I2620" s="137">
        <f>I2619</f>
        <v>0</v>
      </c>
    </row>
    <row r="2621" spans="3:9" ht="15.95" customHeight="1" x14ac:dyDescent="0.25">
      <c r="C2621" s="158" t="s">
        <v>390</v>
      </c>
      <c r="D2621" s="159" t="s">
        <v>391</v>
      </c>
      <c r="E2621" s="160"/>
      <c r="F2621" s="160"/>
      <c r="G2621" s="161"/>
      <c r="H2621" s="162">
        <f>IF(AND(D2621&lt;&gt;"",F2621&lt;&gt;""),IF(C2621="",IF(F2621="OH",VLOOKUP(D2621,[1]UPAH!$B$3:$G$32,7,0),VLOOKUP(D2621,[1]BAHAN!$A$2:$D$3,4,0)),0),0)</f>
        <v>0</v>
      </c>
      <c r="I2621" s="126">
        <f>SUM(I2608:I2620)/2</f>
        <v>326594.02</v>
      </c>
    </row>
    <row r="2622" spans="3:9" ht="15.95" customHeight="1" thickBot="1" x14ac:dyDescent="0.3">
      <c r="C2622" s="147" t="s">
        <v>392</v>
      </c>
      <c r="D2622" s="148" t="s">
        <v>393</v>
      </c>
      <c r="E2622" s="149"/>
      <c r="F2622" s="149"/>
      <c r="G2622" s="164">
        <v>0.1</v>
      </c>
      <c r="H2622" s="151"/>
      <c r="I2622" s="146">
        <f>G2622*I2621</f>
        <v>32659.402000000002</v>
      </c>
    </row>
    <row r="2623" spans="3:9" ht="15.95" customHeight="1" thickBot="1" x14ac:dyDescent="0.3">
      <c r="C2623" s="111" t="s">
        <v>394</v>
      </c>
      <c r="D2623" s="112" t="s">
        <v>395</v>
      </c>
      <c r="E2623" s="134"/>
      <c r="F2623" s="134"/>
      <c r="G2623" s="156"/>
      <c r="H2623" s="136">
        <f>IF(AND(D2623&lt;&gt;"",F2623&lt;&gt;""),IF(C2623="",IF(F2623="OH",VLOOKUP(D2623,[1]UPAH!$B$3:$G$32,7,0),VLOOKUP(D2623,[1]BAHAN!$A$2:$D$3,4,0)),0),0)</f>
        <v>0</v>
      </c>
      <c r="I2623" s="137">
        <f>ROUNDDOWN(I2621+I2622,0)</f>
        <v>359253</v>
      </c>
    </row>
    <row r="2624" spans="3:9" ht="15.95" customHeight="1" x14ac:dyDescent="0.25">
      <c r="C2624" s="109"/>
      <c r="D2624" s="109"/>
      <c r="G2624" s="157"/>
    </row>
    <row r="2625" spans="2:10" ht="15.95" customHeight="1" thickBot="1" x14ac:dyDescent="0.3">
      <c r="B2625" s="109" t="s">
        <v>827</v>
      </c>
      <c r="C2625" s="104" t="s">
        <v>828</v>
      </c>
      <c r="G2625" s="157"/>
      <c r="J2625" s="110">
        <f>I2642</f>
        <v>357179</v>
      </c>
    </row>
    <row r="2626" spans="2:10" ht="15.95" customHeight="1" thickBot="1" x14ac:dyDescent="0.3">
      <c r="C2626" s="111" t="s">
        <v>328</v>
      </c>
      <c r="D2626" s="112" t="s">
        <v>359</v>
      </c>
      <c r="E2626" s="113" t="s">
        <v>360</v>
      </c>
      <c r="F2626" s="113" t="s">
        <v>330</v>
      </c>
      <c r="G2626" s="114" t="s">
        <v>361</v>
      </c>
      <c r="H2626" s="112" t="s">
        <v>362</v>
      </c>
      <c r="I2626" s="115" t="s">
        <v>363</v>
      </c>
    </row>
    <row r="2627" spans="2:10" ht="15.95" customHeight="1" x14ac:dyDescent="0.25">
      <c r="C2627" s="116" t="s">
        <v>364</v>
      </c>
      <c r="D2627" s="117" t="s">
        <v>365</v>
      </c>
      <c r="E2627" s="118"/>
      <c r="F2627" s="118"/>
      <c r="G2627" s="165"/>
      <c r="H2627" s="144"/>
      <c r="I2627" s="126"/>
    </row>
    <row r="2628" spans="2:10" ht="15.95" customHeight="1" x14ac:dyDescent="0.25">
      <c r="C2628" s="122"/>
      <c r="D2628" s="117" t="s">
        <v>366</v>
      </c>
      <c r="E2628" s="123" t="s">
        <v>367</v>
      </c>
      <c r="F2628" s="123" t="s">
        <v>368</v>
      </c>
      <c r="G2628" s="124">
        <v>0.6</v>
      </c>
      <c r="H2628" s="125">
        <f>VLOOKUP(D2628,Upah,8,FALSE)</f>
        <v>125000</v>
      </c>
      <c r="I2628" s="126">
        <f>G2628*H2628</f>
        <v>75000</v>
      </c>
    </row>
    <row r="2629" spans="2:10" ht="15.95" customHeight="1" x14ac:dyDescent="0.25">
      <c r="C2629" s="122"/>
      <c r="D2629" s="117" t="s">
        <v>505</v>
      </c>
      <c r="E2629" s="123" t="s">
        <v>414</v>
      </c>
      <c r="F2629" s="123" t="s">
        <v>368</v>
      </c>
      <c r="G2629" s="124">
        <v>0.2</v>
      </c>
      <c r="H2629" s="125">
        <f>VLOOKUP(D2629,Upah,8,FALSE)</f>
        <v>150000</v>
      </c>
      <c r="I2629" s="126">
        <f>G2629*H2629</f>
        <v>30000</v>
      </c>
    </row>
    <row r="2630" spans="2:10" ht="15.95" customHeight="1" x14ac:dyDescent="0.25">
      <c r="C2630" s="122"/>
      <c r="D2630" s="117" t="s">
        <v>371</v>
      </c>
      <c r="E2630" s="123" t="s">
        <v>372</v>
      </c>
      <c r="F2630" s="123" t="s">
        <v>368</v>
      </c>
      <c r="G2630" s="124">
        <v>0.02</v>
      </c>
      <c r="H2630" s="125">
        <f>VLOOKUP(D2630,Upah,8,FALSE)</f>
        <v>165000</v>
      </c>
      <c r="I2630" s="126">
        <f>G2630*H2630</f>
        <v>3300</v>
      </c>
    </row>
    <row r="2631" spans="2:10" ht="15.95" customHeight="1" thickBot="1" x14ac:dyDescent="0.3">
      <c r="C2631" s="122"/>
      <c r="D2631" s="117" t="s">
        <v>373</v>
      </c>
      <c r="E2631" s="123" t="s">
        <v>374</v>
      </c>
      <c r="F2631" s="123" t="s">
        <v>368</v>
      </c>
      <c r="G2631" s="124">
        <v>0.03</v>
      </c>
      <c r="H2631" s="125">
        <f>VLOOKUP(D2631,Upah,8,FALSE)</f>
        <v>170000</v>
      </c>
      <c r="I2631" s="126">
        <f>G2631*H2631</f>
        <v>5100</v>
      </c>
    </row>
    <row r="2632" spans="2:10" ht="15.95" customHeight="1" thickBot="1" x14ac:dyDescent="0.3">
      <c r="C2632" s="132"/>
      <c r="D2632" s="133"/>
      <c r="E2632" s="134"/>
      <c r="F2632" s="134"/>
      <c r="G2632" s="135" t="s">
        <v>375</v>
      </c>
      <c r="H2632" s="136"/>
      <c r="I2632" s="137">
        <f>SUM(I2628:I2631)</f>
        <v>113400</v>
      </c>
    </row>
    <row r="2633" spans="2:10" ht="15.95" customHeight="1" x14ac:dyDescent="0.25">
      <c r="C2633" s="116" t="s">
        <v>376</v>
      </c>
      <c r="D2633" s="117" t="s">
        <v>377</v>
      </c>
      <c r="E2633" s="118"/>
      <c r="F2633" s="118"/>
      <c r="G2633" s="165"/>
      <c r="H2633" s="144"/>
      <c r="I2633" s="126"/>
    </row>
    <row r="2634" spans="2:10" ht="15.95" customHeight="1" x14ac:dyDescent="0.25">
      <c r="C2634" s="122"/>
      <c r="D2634" s="117" t="s">
        <v>417</v>
      </c>
      <c r="E2634" s="118"/>
      <c r="F2634" s="123" t="s">
        <v>130</v>
      </c>
      <c r="G2634" s="124">
        <v>140</v>
      </c>
      <c r="H2634" s="144">
        <f>VLOOKUP(D2634,Bahan,6,FALSE)</f>
        <v>1040</v>
      </c>
      <c r="I2634" s="126">
        <f>G2634*H2634</f>
        <v>145600</v>
      </c>
    </row>
    <row r="2635" spans="2:10" ht="15.95" customHeight="1" x14ac:dyDescent="0.25">
      <c r="C2635" s="122"/>
      <c r="D2635" s="117" t="s">
        <v>380</v>
      </c>
      <c r="E2635" s="118"/>
      <c r="F2635" s="123" t="s">
        <v>159</v>
      </c>
      <c r="G2635" s="124">
        <v>18.5</v>
      </c>
      <c r="H2635" s="144">
        <f>VLOOKUP(D2635,Bahan,6,FALSE)</f>
        <v>1880</v>
      </c>
      <c r="I2635" s="126">
        <f>G2635*H2635</f>
        <v>34780</v>
      </c>
    </row>
    <row r="2636" spans="2:10" ht="15.95" customHeight="1" thickBot="1" x14ac:dyDescent="0.3">
      <c r="C2636" s="122"/>
      <c r="D2636" s="117" t="s">
        <v>493</v>
      </c>
      <c r="E2636" s="118"/>
      <c r="F2636" s="123" t="s">
        <v>158</v>
      </c>
      <c r="G2636" s="124">
        <v>0.122</v>
      </c>
      <c r="H2636" s="144">
        <f>VLOOKUP(D2636,Bahan,6,FALSE)</f>
        <v>253510</v>
      </c>
      <c r="I2636" s="126">
        <f>G2636*H2636</f>
        <v>30928.219999999998</v>
      </c>
    </row>
    <row r="2637" spans="2:10" ht="15.95" customHeight="1" thickBot="1" x14ac:dyDescent="0.3">
      <c r="C2637" s="132"/>
      <c r="D2637" s="133"/>
      <c r="E2637" s="134"/>
      <c r="F2637" s="134"/>
      <c r="G2637" s="135" t="s">
        <v>386</v>
      </c>
      <c r="H2637" s="136"/>
      <c r="I2637" s="137">
        <f>SUM(I2634:I2636)</f>
        <v>211308.22</v>
      </c>
    </row>
    <row r="2638" spans="2:10" ht="15.95" customHeight="1" thickBot="1" x14ac:dyDescent="0.3">
      <c r="C2638" s="116" t="s">
        <v>387</v>
      </c>
      <c r="D2638" s="117" t="s">
        <v>388</v>
      </c>
      <c r="E2638" s="118"/>
      <c r="F2638" s="118"/>
      <c r="G2638" s="165"/>
      <c r="H2638" s="144">
        <f>IF(AND(D2638&lt;&gt;"",F2638&lt;&gt;""),IF(C2638="",IF(F2638="OH",VLOOKUP(D2638,[1]UPAH!$B$3:$G$32,7,0),VLOOKUP(D2638,[1]BAHAN!$A$2:$D$3,4,0)),0),0)</f>
        <v>0</v>
      </c>
      <c r="I2638" s="126">
        <f>G2638*H2638</f>
        <v>0</v>
      </c>
    </row>
    <row r="2639" spans="2:10" ht="15.95" customHeight="1" thickBot="1" x14ac:dyDescent="0.3">
      <c r="C2639" s="132"/>
      <c r="D2639" s="133"/>
      <c r="E2639" s="134"/>
      <c r="F2639" s="134"/>
      <c r="G2639" s="135" t="s">
        <v>389</v>
      </c>
      <c r="H2639" s="136"/>
      <c r="I2639" s="137">
        <f>I2638</f>
        <v>0</v>
      </c>
    </row>
    <row r="2640" spans="2:10" ht="15.95" customHeight="1" x14ac:dyDescent="0.25">
      <c r="C2640" s="158" t="s">
        <v>390</v>
      </c>
      <c r="D2640" s="159" t="s">
        <v>391</v>
      </c>
      <c r="E2640" s="160"/>
      <c r="F2640" s="160"/>
      <c r="G2640" s="161"/>
      <c r="H2640" s="162">
        <f>IF(AND(D2640&lt;&gt;"",F2640&lt;&gt;""),IF(C2640="",IF(F2640="OH",VLOOKUP(D2640,[1]UPAH!$B$3:$G$32,7,0),VLOOKUP(D2640,[1]BAHAN!$A$2:$D$3,4,0)),0),0)</f>
        <v>0</v>
      </c>
      <c r="I2640" s="126">
        <f>SUM(I2627:I2639)/2</f>
        <v>324708.21999999997</v>
      </c>
    </row>
    <row r="2641" spans="2:10" ht="15.95" customHeight="1" thickBot="1" x14ac:dyDescent="0.3">
      <c r="C2641" s="147" t="s">
        <v>392</v>
      </c>
      <c r="D2641" s="148" t="s">
        <v>393</v>
      </c>
      <c r="E2641" s="149"/>
      <c r="F2641" s="149"/>
      <c r="G2641" s="164">
        <v>0.1</v>
      </c>
      <c r="H2641" s="151"/>
      <c r="I2641" s="146">
        <f>G2641*I2640</f>
        <v>32470.822</v>
      </c>
    </row>
    <row r="2642" spans="2:10" ht="15.95" customHeight="1" thickBot="1" x14ac:dyDescent="0.3">
      <c r="C2642" s="111" t="s">
        <v>394</v>
      </c>
      <c r="D2642" s="112" t="s">
        <v>395</v>
      </c>
      <c r="E2642" s="134"/>
      <c r="F2642" s="134"/>
      <c r="G2642" s="156"/>
      <c r="H2642" s="136">
        <f>IF(AND(D2642&lt;&gt;"",F2642&lt;&gt;""),IF(C2642="",IF(F2642="OH",VLOOKUP(D2642,[1]UPAH!$B$3:$G$32,7,0),VLOOKUP(D2642,[1]BAHAN!$A$2:$D$3,4,0)),0),0)</f>
        <v>0</v>
      </c>
      <c r="I2642" s="137">
        <f>ROUNDDOWN(I2640+I2641,0)</f>
        <v>357179</v>
      </c>
    </row>
    <row r="2643" spans="2:10" ht="15.95" customHeight="1" x14ac:dyDescent="0.25">
      <c r="C2643" s="109"/>
      <c r="D2643" s="109"/>
      <c r="G2643" s="157"/>
    </row>
    <row r="2644" spans="2:10" ht="15.95" customHeight="1" thickBot="1" x14ac:dyDescent="0.3">
      <c r="B2644" s="109" t="s">
        <v>829</v>
      </c>
      <c r="C2644" s="104" t="s">
        <v>830</v>
      </c>
      <c r="G2644" s="157"/>
      <c r="J2644" s="110">
        <f>I2662</f>
        <v>345120</v>
      </c>
    </row>
    <row r="2645" spans="2:10" ht="15.95" customHeight="1" thickBot="1" x14ac:dyDescent="0.3">
      <c r="C2645" s="111" t="s">
        <v>328</v>
      </c>
      <c r="D2645" s="112" t="s">
        <v>359</v>
      </c>
      <c r="E2645" s="113" t="s">
        <v>360</v>
      </c>
      <c r="F2645" s="113" t="s">
        <v>330</v>
      </c>
      <c r="G2645" s="114" t="s">
        <v>361</v>
      </c>
      <c r="H2645" s="112" t="s">
        <v>362</v>
      </c>
      <c r="I2645" s="115" t="s">
        <v>363</v>
      </c>
    </row>
    <row r="2646" spans="2:10" ht="15.95" customHeight="1" x14ac:dyDescent="0.25">
      <c r="C2646" s="116" t="s">
        <v>364</v>
      </c>
      <c r="D2646" s="117" t="s">
        <v>365</v>
      </c>
      <c r="E2646" s="118"/>
      <c r="F2646" s="118"/>
      <c r="G2646" s="165"/>
      <c r="H2646" s="144"/>
      <c r="I2646" s="126"/>
    </row>
    <row r="2647" spans="2:10" ht="15.95" customHeight="1" x14ac:dyDescent="0.25">
      <c r="C2647" s="122"/>
      <c r="D2647" s="117" t="s">
        <v>366</v>
      </c>
      <c r="E2647" s="123" t="s">
        <v>367</v>
      </c>
      <c r="F2647" s="123" t="s">
        <v>368</v>
      </c>
      <c r="G2647" s="124">
        <v>0.6</v>
      </c>
      <c r="H2647" s="125">
        <f>VLOOKUP(D2647,Upah,8,FALSE)</f>
        <v>125000</v>
      </c>
      <c r="I2647" s="126">
        <f>G2647*H2647</f>
        <v>75000</v>
      </c>
    </row>
    <row r="2648" spans="2:10" ht="15.95" customHeight="1" x14ac:dyDescent="0.25">
      <c r="C2648" s="122"/>
      <c r="D2648" s="117" t="s">
        <v>505</v>
      </c>
      <c r="E2648" s="123" t="s">
        <v>414</v>
      </c>
      <c r="F2648" s="123" t="s">
        <v>368</v>
      </c>
      <c r="G2648" s="124">
        <v>0.2</v>
      </c>
      <c r="H2648" s="125">
        <f>VLOOKUP(D2648,Upah,8,FALSE)</f>
        <v>150000</v>
      </c>
      <c r="I2648" s="126">
        <f>G2648*H2648</f>
        <v>30000</v>
      </c>
    </row>
    <row r="2649" spans="2:10" ht="15.95" customHeight="1" x14ac:dyDescent="0.25">
      <c r="C2649" s="122"/>
      <c r="D2649" s="117" t="s">
        <v>371</v>
      </c>
      <c r="E2649" s="123" t="s">
        <v>372</v>
      </c>
      <c r="F2649" s="123" t="s">
        <v>368</v>
      </c>
      <c r="G2649" s="124">
        <v>0.02</v>
      </c>
      <c r="H2649" s="125">
        <f>VLOOKUP(D2649,Upah,8,FALSE)</f>
        <v>165000</v>
      </c>
      <c r="I2649" s="126">
        <f>G2649*H2649</f>
        <v>3300</v>
      </c>
    </row>
    <row r="2650" spans="2:10" ht="15.95" customHeight="1" thickBot="1" x14ac:dyDescent="0.3">
      <c r="C2650" s="122"/>
      <c r="D2650" s="117" t="s">
        <v>373</v>
      </c>
      <c r="E2650" s="123" t="s">
        <v>374</v>
      </c>
      <c r="F2650" s="123" t="s">
        <v>368</v>
      </c>
      <c r="G2650" s="124">
        <v>0.03</v>
      </c>
      <c r="H2650" s="125">
        <f>VLOOKUP(D2650,Upah,8,FALSE)</f>
        <v>170000</v>
      </c>
      <c r="I2650" s="126">
        <f>G2650*H2650</f>
        <v>5100</v>
      </c>
    </row>
    <row r="2651" spans="2:10" ht="15.95" customHeight="1" thickBot="1" x14ac:dyDescent="0.3">
      <c r="C2651" s="132"/>
      <c r="D2651" s="133"/>
      <c r="E2651" s="134"/>
      <c r="F2651" s="134"/>
      <c r="G2651" s="135" t="s">
        <v>375</v>
      </c>
      <c r="H2651" s="136"/>
      <c r="I2651" s="137">
        <f>SUM(I2647:I2650)</f>
        <v>113400</v>
      </c>
    </row>
    <row r="2652" spans="2:10" ht="15.95" customHeight="1" x14ac:dyDescent="0.25">
      <c r="C2652" s="116" t="s">
        <v>376</v>
      </c>
      <c r="D2652" s="117" t="s">
        <v>377</v>
      </c>
      <c r="E2652" s="118"/>
      <c r="F2652" s="118"/>
      <c r="G2652" s="165"/>
      <c r="H2652" s="144"/>
      <c r="I2652" s="126"/>
    </row>
    <row r="2653" spans="2:10" ht="15.95" customHeight="1" x14ac:dyDescent="0.25">
      <c r="C2653" s="122"/>
      <c r="D2653" s="117" t="s">
        <v>417</v>
      </c>
      <c r="E2653" s="118"/>
      <c r="F2653" s="123" t="s">
        <v>130</v>
      </c>
      <c r="G2653" s="124">
        <v>140</v>
      </c>
      <c r="H2653" s="144">
        <f>VLOOKUP(D2653,Bahan,6,FALSE)</f>
        <v>1040</v>
      </c>
      <c r="I2653" s="126">
        <f>G2653*H2653</f>
        <v>145600</v>
      </c>
    </row>
    <row r="2654" spans="2:10" ht="15.95" customHeight="1" x14ac:dyDescent="0.25">
      <c r="C2654" s="122"/>
      <c r="D2654" s="117" t="s">
        <v>380</v>
      </c>
      <c r="E2654" s="118"/>
      <c r="F2654" s="123" t="s">
        <v>159</v>
      </c>
      <c r="G2654" s="124">
        <v>10.08</v>
      </c>
      <c r="H2654" s="144">
        <f>VLOOKUP(D2654,Bahan,6,FALSE)</f>
        <v>1880</v>
      </c>
      <c r="I2654" s="126">
        <f>G2654*H2654</f>
        <v>18950.400000000001</v>
      </c>
    </row>
    <row r="2655" spans="2:10" ht="15.95" customHeight="1" x14ac:dyDescent="0.25">
      <c r="C2655" s="122"/>
      <c r="D2655" s="117" t="s">
        <v>492</v>
      </c>
      <c r="E2655" s="118"/>
      <c r="F2655" s="123" t="s">
        <v>158</v>
      </c>
      <c r="G2655" s="124">
        <v>2.75E-2</v>
      </c>
      <c r="H2655" s="144">
        <f>VLOOKUP(D2655,Bahan,6,FALSE)</f>
        <v>448950</v>
      </c>
      <c r="I2655" s="126">
        <f>G2655*H2655</f>
        <v>12346.125</v>
      </c>
    </row>
    <row r="2656" spans="2:10" ht="15.95" customHeight="1" thickBot="1" x14ac:dyDescent="0.3">
      <c r="C2656" s="122"/>
      <c r="D2656" s="117" t="s">
        <v>493</v>
      </c>
      <c r="E2656" s="118"/>
      <c r="F2656" s="123" t="s">
        <v>158</v>
      </c>
      <c r="G2656" s="124">
        <v>9.2499999999999999E-2</v>
      </c>
      <c r="H2656" s="144">
        <f>VLOOKUP(D2656,Bahan,6,FALSE)</f>
        <v>253510</v>
      </c>
      <c r="I2656" s="126">
        <f>G2656*H2656</f>
        <v>23449.674999999999</v>
      </c>
    </row>
    <row r="2657" spans="2:10" ht="15.95" customHeight="1" thickBot="1" x14ac:dyDescent="0.3">
      <c r="C2657" s="132"/>
      <c r="D2657" s="133"/>
      <c r="E2657" s="134"/>
      <c r="F2657" s="134"/>
      <c r="G2657" s="135" t="s">
        <v>386</v>
      </c>
      <c r="H2657" s="136"/>
      <c r="I2657" s="137">
        <f>SUM(I2653:I2656)</f>
        <v>200346.19999999998</v>
      </c>
    </row>
    <row r="2658" spans="2:10" ht="15.95" customHeight="1" thickBot="1" x14ac:dyDescent="0.3">
      <c r="C2658" s="116" t="s">
        <v>387</v>
      </c>
      <c r="D2658" s="117" t="s">
        <v>388</v>
      </c>
      <c r="E2658" s="118"/>
      <c r="F2658" s="118"/>
      <c r="G2658" s="165"/>
      <c r="H2658" s="144">
        <f>IF(AND(D2658&lt;&gt;"",F2658&lt;&gt;""),IF(C2658="",IF(F2658="OH",VLOOKUP(D2658,[1]UPAH!$B$3:$G$32,7,0),VLOOKUP(D2658,[1]BAHAN!$A$2:$D$3,4,0)),0),0)</f>
        <v>0</v>
      </c>
      <c r="I2658" s="126">
        <f>G2658*H2658</f>
        <v>0</v>
      </c>
    </row>
    <row r="2659" spans="2:10" ht="15.95" customHeight="1" thickBot="1" x14ac:dyDescent="0.3">
      <c r="C2659" s="132"/>
      <c r="D2659" s="133"/>
      <c r="E2659" s="134"/>
      <c r="F2659" s="134"/>
      <c r="G2659" s="135" t="s">
        <v>389</v>
      </c>
      <c r="H2659" s="136"/>
      <c r="I2659" s="137">
        <f>I2658</f>
        <v>0</v>
      </c>
    </row>
    <row r="2660" spans="2:10" ht="15.95" customHeight="1" x14ac:dyDescent="0.25">
      <c r="C2660" s="158" t="s">
        <v>390</v>
      </c>
      <c r="D2660" s="159" t="s">
        <v>391</v>
      </c>
      <c r="E2660" s="160"/>
      <c r="F2660" s="160"/>
      <c r="G2660" s="161"/>
      <c r="H2660" s="162">
        <f>IF(AND(D2660&lt;&gt;"",F2660&lt;&gt;""),IF(C2660="",IF(F2660="OH",VLOOKUP(D2660,[1]UPAH!$B$3:$G$32,7,0),VLOOKUP(D2660,[1]BAHAN!$A$2:$D$3,4,0)),0),0)</f>
        <v>0</v>
      </c>
      <c r="I2660" s="126">
        <f>SUM(I2647:I2659)/2</f>
        <v>313746.2</v>
      </c>
    </row>
    <row r="2661" spans="2:10" ht="15.95" customHeight="1" thickBot="1" x14ac:dyDescent="0.3">
      <c r="C2661" s="147" t="s">
        <v>392</v>
      </c>
      <c r="D2661" s="148" t="s">
        <v>393</v>
      </c>
      <c r="E2661" s="149"/>
      <c r="F2661" s="149"/>
      <c r="G2661" s="164">
        <v>0.1</v>
      </c>
      <c r="H2661" s="151"/>
      <c r="I2661" s="146">
        <f>G2661*I2660</f>
        <v>31374.620000000003</v>
      </c>
    </row>
    <row r="2662" spans="2:10" ht="15.95" customHeight="1" thickBot="1" x14ac:dyDescent="0.3">
      <c r="C2662" s="111" t="s">
        <v>394</v>
      </c>
      <c r="D2662" s="112" t="s">
        <v>395</v>
      </c>
      <c r="E2662" s="134"/>
      <c r="F2662" s="134"/>
      <c r="G2662" s="156"/>
      <c r="H2662" s="136">
        <f>IF(AND(D2662&lt;&gt;"",F2662&lt;&gt;""),IF(C2662="",IF(F2662="OH",VLOOKUP(D2662,[1]UPAH!$B$3:$G$32,7,0),VLOOKUP(D2662,[1]BAHAN!$A$2:$D$3,4,0)),0),0)</f>
        <v>0</v>
      </c>
      <c r="I2662" s="137">
        <f>ROUNDDOWN(I2660+I2661,0)</f>
        <v>345120</v>
      </c>
    </row>
    <row r="2663" spans="2:10" ht="15.95" customHeight="1" x14ac:dyDescent="0.25">
      <c r="C2663" s="109"/>
      <c r="D2663" s="109"/>
      <c r="G2663" s="157"/>
    </row>
    <row r="2664" spans="2:10" ht="30" customHeight="1" thickBot="1" x14ac:dyDescent="0.3">
      <c r="B2664" s="104" t="s">
        <v>831</v>
      </c>
      <c r="C2664" s="570" t="s">
        <v>832</v>
      </c>
      <c r="D2664" s="570"/>
      <c r="E2664" s="570"/>
      <c r="F2664" s="570"/>
      <c r="G2664" s="570"/>
      <c r="H2664" s="570"/>
      <c r="I2664" s="570"/>
      <c r="J2664" s="110">
        <f>I2681</f>
        <v>192235</v>
      </c>
    </row>
    <row r="2665" spans="2:10" ht="15.95" customHeight="1" thickBot="1" x14ac:dyDescent="0.3">
      <c r="C2665" s="111" t="s">
        <v>328</v>
      </c>
      <c r="D2665" s="112" t="s">
        <v>359</v>
      </c>
      <c r="E2665" s="113" t="s">
        <v>360</v>
      </c>
      <c r="F2665" s="113" t="s">
        <v>330</v>
      </c>
      <c r="G2665" s="114" t="s">
        <v>361</v>
      </c>
      <c r="H2665" s="112" t="s">
        <v>362</v>
      </c>
      <c r="I2665" s="115" t="s">
        <v>363</v>
      </c>
    </row>
    <row r="2666" spans="2:10" ht="15.95" customHeight="1" x14ac:dyDescent="0.25">
      <c r="C2666" s="116" t="s">
        <v>364</v>
      </c>
      <c r="D2666" s="117" t="s">
        <v>365</v>
      </c>
      <c r="E2666" s="118"/>
      <c r="F2666" s="118"/>
      <c r="G2666" s="165"/>
      <c r="H2666" s="144"/>
      <c r="I2666" s="126"/>
    </row>
    <row r="2667" spans="2:10" ht="15.95" customHeight="1" x14ac:dyDescent="0.25">
      <c r="C2667" s="122"/>
      <c r="D2667" s="117" t="s">
        <v>366</v>
      </c>
      <c r="E2667" s="123" t="s">
        <v>367</v>
      </c>
      <c r="F2667" s="123" t="s">
        <v>368</v>
      </c>
      <c r="G2667" s="124">
        <v>0.3</v>
      </c>
      <c r="H2667" s="125">
        <f>VLOOKUP(D2667,Upah,8,FALSE)</f>
        <v>125000</v>
      </c>
      <c r="I2667" s="126">
        <f>G2667*H2667</f>
        <v>37500</v>
      </c>
    </row>
    <row r="2668" spans="2:10" ht="15.95" customHeight="1" x14ac:dyDescent="0.25">
      <c r="C2668" s="122"/>
      <c r="D2668" s="117" t="s">
        <v>505</v>
      </c>
      <c r="E2668" s="123" t="s">
        <v>414</v>
      </c>
      <c r="F2668" s="123" t="s">
        <v>368</v>
      </c>
      <c r="G2668" s="124">
        <v>0.1</v>
      </c>
      <c r="H2668" s="125">
        <f>VLOOKUP(D2668,Upah,8,FALSE)</f>
        <v>150000</v>
      </c>
      <c r="I2668" s="126">
        <f>G2668*H2668</f>
        <v>15000</v>
      </c>
    </row>
    <row r="2669" spans="2:10" ht="15.95" customHeight="1" x14ac:dyDescent="0.25">
      <c r="C2669" s="122"/>
      <c r="D2669" s="117" t="s">
        <v>371</v>
      </c>
      <c r="E2669" s="123" t="s">
        <v>372</v>
      </c>
      <c r="F2669" s="123" t="s">
        <v>368</v>
      </c>
      <c r="G2669" s="124">
        <v>0.01</v>
      </c>
      <c r="H2669" s="125">
        <f>VLOOKUP(D2669,Upah,8,FALSE)</f>
        <v>165000</v>
      </c>
      <c r="I2669" s="126">
        <f>G2669*H2669</f>
        <v>1650</v>
      </c>
    </row>
    <row r="2670" spans="2:10" ht="15.95" customHeight="1" thickBot="1" x14ac:dyDescent="0.3">
      <c r="C2670" s="122"/>
      <c r="D2670" s="117" t="s">
        <v>373</v>
      </c>
      <c r="E2670" s="123" t="s">
        <v>374</v>
      </c>
      <c r="F2670" s="123" t="s">
        <v>368</v>
      </c>
      <c r="G2670" s="124">
        <v>1.4999999999999999E-2</v>
      </c>
      <c r="H2670" s="125">
        <f>VLOOKUP(D2670,Upah,8,FALSE)</f>
        <v>170000</v>
      </c>
      <c r="I2670" s="126">
        <f>G2670*H2670</f>
        <v>2550</v>
      </c>
    </row>
    <row r="2671" spans="2:10" ht="15.95" customHeight="1" thickBot="1" x14ac:dyDescent="0.3">
      <c r="C2671" s="132"/>
      <c r="D2671" s="133"/>
      <c r="E2671" s="134"/>
      <c r="F2671" s="134"/>
      <c r="G2671" s="135" t="s">
        <v>375</v>
      </c>
      <c r="H2671" s="136"/>
      <c r="I2671" s="137">
        <f>SUM(I2667:I2670)</f>
        <v>56700</v>
      </c>
    </row>
    <row r="2672" spans="2:10" ht="15.95" customHeight="1" x14ac:dyDescent="0.25">
      <c r="C2672" s="116" t="s">
        <v>376</v>
      </c>
      <c r="D2672" s="117" t="s">
        <v>377</v>
      </c>
      <c r="E2672" s="118"/>
      <c r="F2672" s="118"/>
      <c r="G2672" s="165"/>
      <c r="H2672" s="144"/>
      <c r="I2672" s="126"/>
    </row>
    <row r="2673" spans="2:10" ht="15.95" customHeight="1" x14ac:dyDescent="0.25">
      <c r="C2673" s="122"/>
      <c r="D2673" s="117" t="s">
        <v>417</v>
      </c>
      <c r="E2673" s="118"/>
      <c r="F2673" s="123" t="s">
        <v>130</v>
      </c>
      <c r="G2673" s="124">
        <v>70</v>
      </c>
      <c r="H2673" s="144">
        <f>VLOOKUP(D2673,Bahan,6,FALSE)</f>
        <v>1040</v>
      </c>
      <c r="I2673" s="126">
        <f>G2673*H2673</f>
        <v>72800</v>
      </c>
    </row>
    <row r="2674" spans="2:10" ht="15.95" customHeight="1" x14ac:dyDescent="0.25">
      <c r="C2674" s="122"/>
      <c r="D2674" s="117" t="s">
        <v>380</v>
      </c>
      <c r="E2674" s="118"/>
      <c r="F2674" s="123" t="s">
        <v>159</v>
      </c>
      <c r="G2674" s="124">
        <v>18.95</v>
      </c>
      <c r="H2674" s="144">
        <f>VLOOKUP(D2674,Bahan,6,FALSE)</f>
        <v>1880</v>
      </c>
      <c r="I2674" s="126">
        <f>G2674*H2674</f>
        <v>35626</v>
      </c>
    </row>
    <row r="2675" spans="2:10" ht="15.95" customHeight="1" thickBot="1" x14ac:dyDescent="0.3">
      <c r="C2675" s="122"/>
      <c r="D2675" s="117" t="s">
        <v>493</v>
      </c>
      <c r="E2675" s="118"/>
      <c r="F2675" s="123" t="s">
        <v>158</v>
      </c>
      <c r="G2675" s="124">
        <v>3.7999999999999999E-2</v>
      </c>
      <c r="H2675" s="144">
        <f>VLOOKUP(D2675,Bahan,6,FALSE)</f>
        <v>253510</v>
      </c>
      <c r="I2675" s="126">
        <f>G2675*H2675</f>
        <v>9633.3799999999992</v>
      </c>
    </row>
    <row r="2676" spans="2:10" ht="15.95" customHeight="1" thickBot="1" x14ac:dyDescent="0.3">
      <c r="C2676" s="132"/>
      <c r="D2676" s="133"/>
      <c r="E2676" s="134"/>
      <c r="F2676" s="134"/>
      <c r="G2676" s="135" t="s">
        <v>386</v>
      </c>
      <c r="H2676" s="136"/>
      <c r="I2676" s="137">
        <f>SUM(I2673:I2675)</f>
        <v>118059.38</v>
      </c>
    </row>
    <row r="2677" spans="2:10" ht="15.95" customHeight="1" thickBot="1" x14ac:dyDescent="0.3">
      <c r="C2677" s="116" t="s">
        <v>387</v>
      </c>
      <c r="D2677" s="117" t="s">
        <v>388</v>
      </c>
      <c r="E2677" s="118"/>
      <c r="F2677" s="118"/>
      <c r="G2677" s="165"/>
      <c r="H2677" s="144">
        <f>IF(AND(D2677&lt;&gt;"",F2677&lt;&gt;""),IF(C2677="",IF(F2677="OH",VLOOKUP(D2677,[1]UPAH!$B$3:$G$32,7,0),VLOOKUP(D2677,[1]BAHAN!$A$2:$D$3,4,0)),0),0)</f>
        <v>0</v>
      </c>
      <c r="I2677" s="126">
        <f>G2677*H2677</f>
        <v>0</v>
      </c>
    </row>
    <row r="2678" spans="2:10" ht="15.95" customHeight="1" thickBot="1" x14ac:dyDescent="0.3">
      <c r="C2678" s="132"/>
      <c r="D2678" s="133"/>
      <c r="E2678" s="134"/>
      <c r="F2678" s="134"/>
      <c r="G2678" s="135" t="s">
        <v>389</v>
      </c>
      <c r="H2678" s="136"/>
      <c r="I2678" s="137">
        <f>I2677</f>
        <v>0</v>
      </c>
    </row>
    <row r="2679" spans="2:10" ht="15.95" customHeight="1" x14ac:dyDescent="0.25">
      <c r="C2679" s="158" t="s">
        <v>390</v>
      </c>
      <c r="D2679" s="159" t="s">
        <v>391</v>
      </c>
      <c r="E2679" s="160"/>
      <c r="F2679" s="160"/>
      <c r="G2679" s="161"/>
      <c r="H2679" s="162">
        <f>IF(AND(D2679&lt;&gt;"",F2679&lt;&gt;""),IF(C2679="",IF(F2679="OH",VLOOKUP(D2679,[1]UPAH!$B$3:$G$32,7,0),VLOOKUP(D2679,[1]BAHAN!$A$2:$D$3,4,0)),0),0)</f>
        <v>0</v>
      </c>
      <c r="I2679" s="126">
        <f>SUM(I2666:I2678)/2</f>
        <v>174759.38</v>
      </c>
    </row>
    <row r="2680" spans="2:10" ht="15.95" customHeight="1" thickBot="1" x14ac:dyDescent="0.3">
      <c r="C2680" s="147" t="s">
        <v>392</v>
      </c>
      <c r="D2680" s="148" t="s">
        <v>393</v>
      </c>
      <c r="E2680" s="149"/>
      <c r="F2680" s="149"/>
      <c r="G2680" s="164">
        <v>0.1</v>
      </c>
      <c r="H2680" s="151"/>
      <c r="I2680" s="146">
        <f>G2680*I2679</f>
        <v>17475.938000000002</v>
      </c>
    </row>
    <row r="2681" spans="2:10" ht="15.95" customHeight="1" thickBot="1" x14ac:dyDescent="0.3">
      <c r="C2681" s="111" t="s">
        <v>394</v>
      </c>
      <c r="D2681" s="112" t="s">
        <v>395</v>
      </c>
      <c r="E2681" s="134"/>
      <c r="F2681" s="134"/>
      <c r="G2681" s="156"/>
      <c r="H2681" s="136">
        <f>IF(AND(D2681&lt;&gt;"",F2681&lt;&gt;""),IF(C2681="",IF(F2681="OH",VLOOKUP(D2681,[1]UPAH!$B$3:$G$32,7,0),VLOOKUP(D2681,[1]BAHAN!$A$2:$D$3,4,0)),0),0)</f>
        <v>0</v>
      </c>
      <c r="I2681" s="137">
        <f>ROUNDDOWN(I2679+I2680,0)</f>
        <v>192235</v>
      </c>
    </row>
    <row r="2682" spans="2:10" ht="15.95" customHeight="1" x14ac:dyDescent="0.25">
      <c r="C2682" s="109"/>
      <c r="D2682" s="109"/>
      <c r="G2682" s="157"/>
    </row>
    <row r="2683" spans="2:10" ht="30" customHeight="1" thickBot="1" x14ac:dyDescent="0.3">
      <c r="B2683" s="109" t="s">
        <v>833</v>
      </c>
      <c r="C2683" s="571" t="s">
        <v>834</v>
      </c>
      <c r="D2683" s="571"/>
      <c r="E2683" s="571"/>
      <c r="F2683" s="571"/>
      <c r="G2683" s="571"/>
      <c r="H2683" s="571"/>
      <c r="I2683" s="571"/>
      <c r="J2683" s="110">
        <f>I2700</f>
        <v>183321</v>
      </c>
    </row>
    <row r="2684" spans="2:10" ht="15.95" customHeight="1" thickBot="1" x14ac:dyDescent="0.3">
      <c r="C2684" s="111" t="s">
        <v>328</v>
      </c>
      <c r="D2684" s="112" t="s">
        <v>359</v>
      </c>
      <c r="E2684" s="113" t="s">
        <v>360</v>
      </c>
      <c r="F2684" s="113" t="s">
        <v>330</v>
      </c>
      <c r="G2684" s="114" t="s">
        <v>361</v>
      </c>
      <c r="H2684" s="112" t="s">
        <v>362</v>
      </c>
      <c r="I2684" s="115" t="s">
        <v>363</v>
      </c>
    </row>
    <row r="2685" spans="2:10" ht="15.95" customHeight="1" x14ac:dyDescent="0.25">
      <c r="C2685" s="116" t="s">
        <v>364</v>
      </c>
      <c r="D2685" s="117" t="s">
        <v>365</v>
      </c>
      <c r="E2685" s="118"/>
      <c r="F2685" s="118"/>
      <c r="G2685" s="165"/>
      <c r="H2685" s="144"/>
      <c r="I2685" s="126"/>
    </row>
    <row r="2686" spans="2:10" ht="15.95" customHeight="1" x14ac:dyDescent="0.25">
      <c r="C2686" s="122"/>
      <c r="D2686" s="117" t="s">
        <v>366</v>
      </c>
      <c r="E2686" s="123" t="s">
        <v>367</v>
      </c>
      <c r="F2686" s="123" t="s">
        <v>368</v>
      </c>
      <c r="G2686" s="124">
        <v>0.3</v>
      </c>
      <c r="H2686" s="125">
        <f>VLOOKUP(D2686,Upah,8,FALSE)</f>
        <v>125000</v>
      </c>
      <c r="I2686" s="126">
        <f>G2686*H2686</f>
        <v>37500</v>
      </c>
    </row>
    <row r="2687" spans="2:10" ht="15.95" customHeight="1" x14ac:dyDescent="0.25">
      <c r="C2687" s="122"/>
      <c r="D2687" s="117" t="s">
        <v>505</v>
      </c>
      <c r="E2687" s="123" t="s">
        <v>414</v>
      </c>
      <c r="F2687" s="123" t="s">
        <v>368</v>
      </c>
      <c r="G2687" s="124">
        <v>0.1</v>
      </c>
      <c r="H2687" s="125">
        <f>VLOOKUP(D2687,Upah,8,FALSE)</f>
        <v>150000</v>
      </c>
      <c r="I2687" s="126">
        <f>G2687*H2687</f>
        <v>15000</v>
      </c>
    </row>
    <row r="2688" spans="2:10" ht="15.95" customHeight="1" x14ac:dyDescent="0.25">
      <c r="C2688" s="122"/>
      <c r="D2688" s="117" t="s">
        <v>371</v>
      </c>
      <c r="E2688" s="123" t="s">
        <v>372</v>
      </c>
      <c r="F2688" s="123" t="s">
        <v>368</v>
      </c>
      <c r="G2688" s="124">
        <v>0.01</v>
      </c>
      <c r="H2688" s="125">
        <f>VLOOKUP(D2688,Upah,8,FALSE)</f>
        <v>165000</v>
      </c>
      <c r="I2688" s="126">
        <f>G2688*H2688</f>
        <v>1650</v>
      </c>
    </row>
    <row r="2689" spans="2:10" ht="15.95" customHeight="1" thickBot="1" x14ac:dyDescent="0.3">
      <c r="C2689" s="122"/>
      <c r="D2689" s="117" t="s">
        <v>373</v>
      </c>
      <c r="E2689" s="123" t="s">
        <v>374</v>
      </c>
      <c r="F2689" s="123" t="s">
        <v>368</v>
      </c>
      <c r="G2689" s="124">
        <v>1.4999999999999999E-2</v>
      </c>
      <c r="H2689" s="125">
        <f>VLOOKUP(D2689,Upah,8,FALSE)</f>
        <v>170000</v>
      </c>
      <c r="I2689" s="126">
        <f>G2689*H2689</f>
        <v>2550</v>
      </c>
    </row>
    <row r="2690" spans="2:10" ht="15.95" customHeight="1" thickBot="1" x14ac:dyDescent="0.3">
      <c r="C2690" s="132"/>
      <c r="D2690" s="133"/>
      <c r="E2690" s="134"/>
      <c r="F2690" s="134"/>
      <c r="G2690" s="135" t="s">
        <v>375</v>
      </c>
      <c r="H2690" s="136"/>
      <c r="I2690" s="137">
        <f>SUM(I2686:I2689)</f>
        <v>56700</v>
      </c>
    </row>
    <row r="2691" spans="2:10" ht="15.95" customHeight="1" x14ac:dyDescent="0.25">
      <c r="C2691" s="116" t="s">
        <v>376</v>
      </c>
      <c r="D2691" s="117" t="s">
        <v>377</v>
      </c>
      <c r="E2691" s="118"/>
      <c r="F2691" s="118"/>
      <c r="G2691" s="165"/>
      <c r="H2691" s="144"/>
      <c r="I2691" s="126"/>
    </row>
    <row r="2692" spans="2:10" ht="15.95" customHeight="1" x14ac:dyDescent="0.25">
      <c r="C2692" s="122"/>
      <c r="D2692" s="117" t="s">
        <v>417</v>
      </c>
      <c r="E2692" s="118"/>
      <c r="F2692" s="123" t="s">
        <v>130</v>
      </c>
      <c r="G2692" s="124">
        <v>70</v>
      </c>
      <c r="H2692" s="144">
        <f>VLOOKUP(D2692,Bahan,6,FALSE)</f>
        <v>1040</v>
      </c>
      <c r="I2692" s="126">
        <f>G2692*H2692</f>
        <v>72800</v>
      </c>
    </row>
    <row r="2693" spans="2:10" ht="15.95" customHeight="1" x14ac:dyDescent="0.25">
      <c r="C2693" s="122"/>
      <c r="D2693" s="117" t="s">
        <v>380</v>
      </c>
      <c r="E2693" s="118"/>
      <c r="F2693" s="123" t="s">
        <v>159</v>
      </c>
      <c r="G2693" s="124">
        <v>14.37</v>
      </c>
      <c r="H2693" s="144">
        <f>VLOOKUP(D2693,Bahan,6,FALSE)</f>
        <v>1880</v>
      </c>
      <c r="I2693" s="126">
        <f>G2693*H2693</f>
        <v>27015.599999999999</v>
      </c>
    </row>
    <row r="2694" spans="2:10" ht="15.95" customHeight="1" thickBot="1" x14ac:dyDescent="0.3">
      <c r="C2694" s="122"/>
      <c r="D2694" s="117" t="s">
        <v>493</v>
      </c>
      <c r="E2694" s="118"/>
      <c r="F2694" s="123" t="s">
        <v>158</v>
      </c>
      <c r="G2694" s="124">
        <v>0.04</v>
      </c>
      <c r="H2694" s="144">
        <f>VLOOKUP(D2694,Bahan,6,FALSE)</f>
        <v>253510</v>
      </c>
      <c r="I2694" s="126">
        <f>G2694*H2694</f>
        <v>10140.4</v>
      </c>
    </row>
    <row r="2695" spans="2:10" ht="15.95" customHeight="1" thickBot="1" x14ac:dyDescent="0.3">
      <c r="C2695" s="132"/>
      <c r="D2695" s="133"/>
      <c r="E2695" s="134"/>
      <c r="F2695" s="134"/>
      <c r="G2695" s="135" t="s">
        <v>386</v>
      </c>
      <c r="H2695" s="136"/>
      <c r="I2695" s="137">
        <f>SUM(I2692:I2694)</f>
        <v>109956</v>
      </c>
    </row>
    <row r="2696" spans="2:10" ht="15.95" customHeight="1" thickBot="1" x14ac:dyDescent="0.3">
      <c r="C2696" s="116" t="s">
        <v>387</v>
      </c>
      <c r="D2696" s="117" t="s">
        <v>388</v>
      </c>
      <c r="E2696" s="118"/>
      <c r="F2696" s="118"/>
      <c r="G2696" s="165"/>
      <c r="H2696" s="144">
        <f>IF(AND(D2696&lt;&gt;"",F2696&lt;&gt;""),IF(C2696="",IF(F2696="OH",VLOOKUP(D2696,[1]UPAH!$B$3:$G$32,7,0),VLOOKUP(D2696,[1]BAHAN!$A$2:$D$3,4,0)),0),0)</f>
        <v>0</v>
      </c>
      <c r="I2696" s="126">
        <f>G2696*H2696</f>
        <v>0</v>
      </c>
    </row>
    <row r="2697" spans="2:10" ht="15.95" customHeight="1" thickBot="1" x14ac:dyDescent="0.3">
      <c r="C2697" s="132"/>
      <c r="D2697" s="133"/>
      <c r="E2697" s="134"/>
      <c r="F2697" s="134"/>
      <c r="G2697" s="135" t="s">
        <v>389</v>
      </c>
      <c r="H2697" s="136"/>
      <c r="I2697" s="137">
        <f>I2696</f>
        <v>0</v>
      </c>
    </row>
    <row r="2698" spans="2:10" ht="15.95" customHeight="1" x14ac:dyDescent="0.25">
      <c r="C2698" s="158" t="s">
        <v>390</v>
      </c>
      <c r="D2698" s="159" t="s">
        <v>391</v>
      </c>
      <c r="E2698" s="160"/>
      <c r="F2698" s="160"/>
      <c r="G2698" s="161"/>
      <c r="H2698" s="162">
        <f>IF(AND(D2698&lt;&gt;"",F2698&lt;&gt;""),IF(C2698="",IF(F2698="OH",VLOOKUP(D2698,[1]UPAH!$B$3:$G$32,7,0),VLOOKUP(D2698,[1]BAHAN!$A$2:$D$3,4,0)),0),0)</f>
        <v>0</v>
      </c>
      <c r="I2698" s="126">
        <f>SUM(I2685:I2697)/2</f>
        <v>166656</v>
      </c>
    </row>
    <row r="2699" spans="2:10" ht="15.95" customHeight="1" thickBot="1" x14ac:dyDescent="0.3">
      <c r="C2699" s="147" t="s">
        <v>392</v>
      </c>
      <c r="D2699" s="148" t="s">
        <v>393</v>
      </c>
      <c r="E2699" s="149"/>
      <c r="F2699" s="149"/>
      <c r="G2699" s="164">
        <v>0.1</v>
      </c>
      <c r="H2699" s="151"/>
      <c r="I2699" s="146">
        <f>G2699*I2698</f>
        <v>16665.600000000002</v>
      </c>
    </row>
    <row r="2700" spans="2:10" ht="15.95" customHeight="1" thickBot="1" x14ac:dyDescent="0.3">
      <c r="C2700" s="111" t="s">
        <v>394</v>
      </c>
      <c r="D2700" s="112" t="s">
        <v>395</v>
      </c>
      <c r="E2700" s="134"/>
      <c r="F2700" s="134"/>
      <c r="G2700" s="156"/>
      <c r="H2700" s="136">
        <f>IF(AND(D2700&lt;&gt;"",F2700&lt;&gt;""),IF(C2700="",IF(F2700="OH",VLOOKUP(D2700,[1]UPAH!$B$3:$G$32,7,0),VLOOKUP(D2700,[1]BAHAN!$A$2:$D$3,4,0)),0),0)</f>
        <v>0</v>
      </c>
      <c r="I2700" s="137">
        <f>ROUNDDOWN(I2698+I2699,0)</f>
        <v>183321</v>
      </c>
    </row>
    <row r="2701" spans="2:10" ht="15.95" customHeight="1" x14ac:dyDescent="0.25">
      <c r="C2701" s="109"/>
      <c r="D2701" s="109"/>
      <c r="G2701" s="157"/>
    </row>
    <row r="2702" spans="2:10" ht="30" customHeight="1" thickBot="1" x14ac:dyDescent="0.3">
      <c r="B2702" s="247" t="s">
        <v>835</v>
      </c>
      <c r="C2702" s="571" t="s">
        <v>836</v>
      </c>
      <c r="D2702" s="571"/>
      <c r="E2702" s="571"/>
      <c r="F2702" s="571"/>
      <c r="G2702" s="571"/>
      <c r="H2702" s="571"/>
      <c r="I2702" s="571"/>
      <c r="J2702" s="110">
        <f>I2719</f>
        <v>178223</v>
      </c>
    </row>
    <row r="2703" spans="2:10" ht="15.95" customHeight="1" thickBot="1" x14ac:dyDescent="0.3">
      <c r="C2703" s="111" t="s">
        <v>328</v>
      </c>
      <c r="D2703" s="112" t="s">
        <v>359</v>
      </c>
      <c r="E2703" s="113" t="s">
        <v>360</v>
      </c>
      <c r="F2703" s="113" t="s">
        <v>330</v>
      </c>
      <c r="G2703" s="114" t="s">
        <v>361</v>
      </c>
      <c r="H2703" s="112" t="s">
        <v>362</v>
      </c>
      <c r="I2703" s="115" t="s">
        <v>363</v>
      </c>
    </row>
    <row r="2704" spans="2:10" ht="15.95" customHeight="1" x14ac:dyDescent="0.25">
      <c r="C2704" s="116" t="s">
        <v>364</v>
      </c>
      <c r="D2704" s="117" t="s">
        <v>365</v>
      </c>
      <c r="E2704" s="118"/>
      <c r="F2704" s="118"/>
      <c r="G2704" s="165"/>
      <c r="H2704" s="144"/>
      <c r="I2704" s="126"/>
    </row>
    <row r="2705" spans="3:9" ht="15.95" customHeight="1" x14ac:dyDescent="0.25">
      <c r="C2705" s="122"/>
      <c r="D2705" s="117" t="s">
        <v>366</v>
      </c>
      <c r="E2705" s="123" t="s">
        <v>367</v>
      </c>
      <c r="F2705" s="123" t="s">
        <v>368</v>
      </c>
      <c r="G2705" s="124">
        <v>0.3</v>
      </c>
      <c r="H2705" s="125">
        <f>VLOOKUP(D2705,Upah,8,FALSE)</f>
        <v>125000</v>
      </c>
      <c r="I2705" s="126">
        <f>G2705*H2705</f>
        <v>37500</v>
      </c>
    </row>
    <row r="2706" spans="3:9" ht="15.95" customHeight="1" x14ac:dyDescent="0.25">
      <c r="C2706" s="122"/>
      <c r="D2706" s="117" t="s">
        <v>505</v>
      </c>
      <c r="E2706" s="123" t="s">
        <v>414</v>
      </c>
      <c r="F2706" s="123" t="s">
        <v>368</v>
      </c>
      <c r="G2706" s="124">
        <v>0.1</v>
      </c>
      <c r="H2706" s="125">
        <f>VLOOKUP(D2706,Upah,8,FALSE)</f>
        <v>150000</v>
      </c>
      <c r="I2706" s="126">
        <f>G2706*H2706</f>
        <v>15000</v>
      </c>
    </row>
    <row r="2707" spans="3:9" ht="15.95" customHeight="1" x14ac:dyDescent="0.25">
      <c r="C2707" s="122"/>
      <c r="D2707" s="117" t="s">
        <v>371</v>
      </c>
      <c r="E2707" s="123" t="s">
        <v>372</v>
      </c>
      <c r="F2707" s="123" t="s">
        <v>368</v>
      </c>
      <c r="G2707" s="124">
        <v>0.01</v>
      </c>
      <c r="H2707" s="125">
        <f>VLOOKUP(D2707,Upah,8,FALSE)</f>
        <v>165000</v>
      </c>
      <c r="I2707" s="126">
        <f>G2707*H2707</f>
        <v>1650</v>
      </c>
    </row>
    <row r="2708" spans="3:9" ht="15.95" customHeight="1" thickBot="1" x14ac:dyDescent="0.3">
      <c r="C2708" s="122"/>
      <c r="D2708" s="117" t="s">
        <v>373</v>
      </c>
      <c r="E2708" s="123" t="s">
        <v>374</v>
      </c>
      <c r="F2708" s="123" t="s">
        <v>368</v>
      </c>
      <c r="G2708" s="124">
        <v>1.4999999999999999E-2</v>
      </c>
      <c r="H2708" s="125">
        <f>VLOOKUP(D2708,Upah,8,FALSE)</f>
        <v>170000</v>
      </c>
      <c r="I2708" s="126">
        <f>G2708*H2708</f>
        <v>2550</v>
      </c>
    </row>
    <row r="2709" spans="3:9" ht="15.95" customHeight="1" thickBot="1" x14ac:dyDescent="0.3">
      <c r="C2709" s="132"/>
      <c r="D2709" s="133"/>
      <c r="E2709" s="134"/>
      <c r="F2709" s="134"/>
      <c r="G2709" s="135" t="s">
        <v>375</v>
      </c>
      <c r="H2709" s="136"/>
      <c r="I2709" s="137">
        <f>SUM(I2705:I2708)</f>
        <v>56700</v>
      </c>
    </row>
    <row r="2710" spans="3:9" ht="15.95" customHeight="1" x14ac:dyDescent="0.25">
      <c r="C2710" s="116" t="s">
        <v>376</v>
      </c>
      <c r="D2710" s="117" t="s">
        <v>377</v>
      </c>
      <c r="E2710" s="118"/>
      <c r="F2710" s="118"/>
      <c r="G2710" s="165"/>
      <c r="H2710" s="144"/>
      <c r="I2710" s="126"/>
    </row>
    <row r="2711" spans="3:9" ht="15.95" customHeight="1" x14ac:dyDescent="0.25">
      <c r="C2711" s="122"/>
      <c r="D2711" s="117" t="s">
        <v>417</v>
      </c>
      <c r="E2711" s="118"/>
      <c r="F2711" s="123" t="s">
        <v>130</v>
      </c>
      <c r="G2711" s="124">
        <v>70</v>
      </c>
      <c r="H2711" s="144">
        <f>VLOOKUP(D2711,Bahan,6,FALSE)</f>
        <v>1040</v>
      </c>
      <c r="I2711" s="126">
        <f>G2711*H2711</f>
        <v>72800</v>
      </c>
    </row>
    <row r="2712" spans="3:9" ht="15.95" customHeight="1" x14ac:dyDescent="0.25">
      <c r="C2712" s="122"/>
      <c r="D2712" s="117" t="s">
        <v>380</v>
      </c>
      <c r="E2712" s="118"/>
      <c r="F2712" s="123" t="s">
        <v>159</v>
      </c>
      <c r="G2712" s="124">
        <v>11.5</v>
      </c>
      <c r="H2712" s="144">
        <f>VLOOKUP(D2712,Bahan,6,FALSE)</f>
        <v>1880</v>
      </c>
      <c r="I2712" s="126">
        <f>G2712*H2712</f>
        <v>21620</v>
      </c>
    </row>
    <row r="2713" spans="3:9" ht="15.95" customHeight="1" thickBot="1" x14ac:dyDescent="0.3">
      <c r="C2713" s="122"/>
      <c r="D2713" s="117" t="s">
        <v>493</v>
      </c>
      <c r="E2713" s="118"/>
      <c r="F2713" s="123" t="s">
        <v>158</v>
      </c>
      <c r="G2713" s="124">
        <v>4.2999999999999997E-2</v>
      </c>
      <c r="H2713" s="144">
        <f>VLOOKUP(D2713,Bahan,6,FALSE)</f>
        <v>253510</v>
      </c>
      <c r="I2713" s="126">
        <f>G2713*H2713</f>
        <v>10900.929999999998</v>
      </c>
    </row>
    <row r="2714" spans="3:9" ht="15.95" customHeight="1" thickBot="1" x14ac:dyDescent="0.3">
      <c r="C2714" s="132"/>
      <c r="D2714" s="133"/>
      <c r="E2714" s="134"/>
      <c r="F2714" s="134"/>
      <c r="G2714" s="135" t="s">
        <v>386</v>
      </c>
      <c r="H2714" s="136"/>
      <c r="I2714" s="137">
        <f>SUM(I2711:I2713)</f>
        <v>105320.93</v>
      </c>
    </row>
    <row r="2715" spans="3:9" ht="15.95" customHeight="1" thickBot="1" x14ac:dyDescent="0.3">
      <c r="C2715" s="116" t="s">
        <v>387</v>
      </c>
      <c r="D2715" s="117" t="s">
        <v>388</v>
      </c>
      <c r="E2715" s="118"/>
      <c r="F2715" s="118"/>
      <c r="G2715" s="165"/>
      <c r="H2715" s="144">
        <f>IF(AND(D2715&lt;&gt;"",F2715&lt;&gt;""),IF(C2715="",IF(F2715="OH",VLOOKUP(D2715,[1]UPAH!$B$3:$G$32,7,0),VLOOKUP(D2715,[1]BAHAN!$A$2:$D$3,4,0)),0),0)</f>
        <v>0</v>
      </c>
      <c r="I2715" s="126">
        <f>G2715*H2715</f>
        <v>0</v>
      </c>
    </row>
    <row r="2716" spans="3:9" ht="15.95" customHeight="1" thickBot="1" x14ac:dyDescent="0.3">
      <c r="C2716" s="132"/>
      <c r="D2716" s="133"/>
      <c r="E2716" s="134"/>
      <c r="F2716" s="134"/>
      <c r="G2716" s="135" t="s">
        <v>389</v>
      </c>
      <c r="H2716" s="136"/>
      <c r="I2716" s="137">
        <f>I2715</f>
        <v>0</v>
      </c>
    </row>
    <row r="2717" spans="3:9" ht="15.95" customHeight="1" x14ac:dyDescent="0.25">
      <c r="C2717" s="158" t="s">
        <v>390</v>
      </c>
      <c r="D2717" s="159" t="s">
        <v>391</v>
      </c>
      <c r="E2717" s="160"/>
      <c r="F2717" s="160"/>
      <c r="G2717" s="161"/>
      <c r="H2717" s="162">
        <f>IF(AND(D2717&lt;&gt;"",F2717&lt;&gt;""),IF(C2717="",IF(F2717="OH",VLOOKUP(D2717,[1]UPAH!$B$3:$G$32,7,0),VLOOKUP(D2717,[1]BAHAN!$A$2:$D$3,4,0)),0),0)</f>
        <v>0</v>
      </c>
      <c r="I2717" s="126">
        <f>SUM(I2704:I2716)/2</f>
        <v>162020.93</v>
      </c>
    </row>
    <row r="2718" spans="3:9" ht="15.95" customHeight="1" thickBot="1" x14ac:dyDescent="0.3">
      <c r="C2718" s="147" t="s">
        <v>392</v>
      </c>
      <c r="D2718" s="148" t="s">
        <v>393</v>
      </c>
      <c r="E2718" s="149"/>
      <c r="F2718" s="149"/>
      <c r="G2718" s="164">
        <v>0.1</v>
      </c>
      <c r="H2718" s="151"/>
      <c r="I2718" s="146">
        <f>G2718*I2717</f>
        <v>16202.093000000001</v>
      </c>
    </row>
    <row r="2719" spans="3:9" ht="15.95" customHeight="1" thickBot="1" x14ac:dyDescent="0.3">
      <c r="C2719" s="111" t="s">
        <v>394</v>
      </c>
      <c r="D2719" s="112" t="s">
        <v>395</v>
      </c>
      <c r="E2719" s="134"/>
      <c r="F2719" s="134"/>
      <c r="G2719" s="156"/>
      <c r="H2719" s="136">
        <f>IF(AND(D2719&lt;&gt;"",F2719&lt;&gt;""),IF(C2719="",IF(F2719="OH",VLOOKUP(D2719,[1]UPAH!$B$3:$G$32,7,0),VLOOKUP(D2719,[1]BAHAN!$A$2:$D$3,4,0)),0),0)</f>
        <v>0</v>
      </c>
      <c r="I2719" s="137">
        <f>ROUNDDOWN(I2717+I2718,0)</f>
        <v>178223</v>
      </c>
    </row>
    <row r="2720" spans="3:9" ht="15.95" customHeight="1" x14ac:dyDescent="0.25">
      <c r="C2720" s="109"/>
      <c r="D2720" s="109"/>
      <c r="G2720" s="157"/>
    </row>
    <row r="2721" spans="2:10" ht="30" customHeight="1" thickBot="1" x14ac:dyDescent="0.3">
      <c r="B2721" s="109" t="s">
        <v>837</v>
      </c>
      <c r="C2721" s="569" t="s">
        <v>838</v>
      </c>
      <c r="D2721" s="569"/>
      <c r="E2721" s="569"/>
      <c r="F2721" s="569"/>
      <c r="G2721" s="569"/>
      <c r="H2721" s="569"/>
      <c r="I2721" s="569"/>
      <c r="J2721" s="110">
        <f>I2738</f>
        <v>175016</v>
      </c>
    </row>
    <row r="2722" spans="2:10" ht="15.95" customHeight="1" thickBot="1" x14ac:dyDescent="0.3">
      <c r="C2722" s="111" t="s">
        <v>328</v>
      </c>
      <c r="D2722" s="112" t="s">
        <v>359</v>
      </c>
      <c r="E2722" s="113" t="s">
        <v>360</v>
      </c>
      <c r="F2722" s="113" t="s">
        <v>330</v>
      </c>
      <c r="G2722" s="114" t="s">
        <v>361</v>
      </c>
      <c r="H2722" s="112" t="s">
        <v>362</v>
      </c>
      <c r="I2722" s="115" t="s">
        <v>363</v>
      </c>
    </row>
    <row r="2723" spans="2:10" ht="15.95" customHeight="1" x14ac:dyDescent="0.25">
      <c r="C2723" s="116" t="s">
        <v>364</v>
      </c>
      <c r="D2723" s="117" t="s">
        <v>365</v>
      </c>
      <c r="E2723" s="118"/>
      <c r="F2723" s="118"/>
      <c r="G2723" s="165"/>
      <c r="H2723" s="144"/>
      <c r="I2723" s="126"/>
    </row>
    <row r="2724" spans="2:10" ht="15.95" customHeight="1" x14ac:dyDescent="0.25">
      <c r="C2724" s="122"/>
      <c r="D2724" s="117" t="s">
        <v>366</v>
      </c>
      <c r="E2724" s="123" t="s">
        <v>367</v>
      </c>
      <c r="F2724" s="123" t="s">
        <v>368</v>
      </c>
      <c r="G2724" s="124">
        <v>0.3</v>
      </c>
      <c r="H2724" s="125">
        <f>VLOOKUP(D2724,Upah,8,FALSE)</f>
        <v>125000</v>
      </c>
      <c r="I2724" s="126">
        <f>G2724*H2724</f>
        <v>37500</v>
      </c>
    </row>
    <row r="2725" spans="2:10" ht="15.95" customHeight="1" x14ac:dyDescent="0.25">
      <c r="C2725" s="122"/>
      <c r="D2725" s="117" t="s">
        <v>505</v>
      </c>
      <c r="E2725" s="123" t="s">
        <v>414</v>
      </c>
      <c r="F2725" s="123" t="s">
        <v>368</v>
      </c>
      <c r="G2725" s="124">
        <v>0.1</v>
      </c>
      <c r="H2725" s="125">
        <f>VLOOKUP(D2725,Upah,8,FALSE)</f>
        <v>150000</v>
      </c>
      <c r="I2725" s="126">
        <f>G2725*H2725</f>
        <v>15000</v>
      </c>
    </row>
    <row r="2726" spans="2:10" ht="15.95" customHeight="1" x14ac:dyDescent="0.25">
      <c r="C2726" s="122"/>
      <c r="D2726" s="117" t="s">
        <v>371</v>
      </c>
      <c r="E2726" s="123" t="s">
        <v>372</v>
      </c>
      <c r="F2726" s="123" t="s">
        <v>368</v>
      </c>
      <c r="G2726" s="124">
        <v>0.01</v>
      </c>
      <c r="H2726" s="125">
        <f>VLOOKUP(D2726,Upah,8,FALSE)</f>
        <v>165000</v>
      </c>
      <c r="I2726" s="126">
        <f>G2726*H2726</f>
        <v>1650</v>
      </c>
    </row>
    <row r="2727" spans="2:10" ht="15.95" customHeight="1" thickBot="1" x14ac:dyDescent="0.3">
      <c r="C2727" s="122"/>
      <c r="D2727" s="117" t="s">
        <v>373</v>
      </c>
      <c r="E2727" s="123" t="s">
        <v>374</v>
      </c>
      <c r="F2727" s="123" t="s">
        <v>368</v>
      </c>
      <c r="G2727" s="124">
        <v>1.4999999999999999E-2</v>
      </c>
      <c r="H2727" s="125">
        <f>VLOOKUP(D2727,Upah,8,FALSE)</f>
        <v>170000</v>
      </c>
      <c r="I2727" s="126">
        <f>G2727*H2727</f>
        <v>2550</v>
      </c>
    </row>
    <row r="2728" spans="2:10" ht="15.95" customHeight="1" thickBot="1" x14ac:dyDescent="0.3">
      <c r="C2728" s="132"/>
      <c r="D2728" s="133"/>
      <c r="E2728" s="134"/>
      <c r="F2728" s="134"/>
      <c r="G2728" s="135" t="s">
        <v>375</v>
      </c>
      <c r="H2728" s="136"/>
      <c r="I2728" s="137">
        <f>SUM(I2724:I2727)</f>
        <v>56700</v>
      </c>
    </row>
    <row r="2729" spans="2:10" ht="15.95" customHeight="1" x14ac:dyDescent="0.25">
      <c r="C2729" s="116" t="s">
        <v>376</v>
      </c>
      <c r="D2729" s="117" t="s">
        <v>377</v>
      </c>
      <c r="E2729" s="118"/>
      <c r="F2729" s="118"/>
      <c r="G2729" s="165"/>
      <c r="H2729" s="144"/>
      <c r="I2729" s="126"/>
    </row>
    <row r="2730" spans="2:10" ht="15.95" customHeight="1" x14ac:dyDescent="0.25">
      <c r="C2730" s="122"/>
      <c r="D2730" s="117" t="s">
        <v>417</v>
      </c>
      <c r="E2730" s="118"/>
      <c r="F2730" s="123" t="s">
        <v>130</v>
      </c>
      <c r="G2730" s="124">
        <v>70</v>
      </c>
      <c r="H2730" s="144">
        <f>VLOOKUP(D2730,Bahan,6,FALSE)</f>
        <v>1040</v>
      </c>
      <c r="I2730" s="126">
        <f>G2730*H2730</f>
        <v>72800</v>
      </c>
    </row>
    <row r="2731" spans="2:10" ht="15.95" customHeight="1" x14ac:dyDescent="0.25">
      <c r="C2731" s="122"/>
      <c r="D2731" s="117" t="s">
        <v>380</v>
      </c>
      <c r="E2731" s="118"/>
      <c r="F2731" s="123" t="s">
        <v>159</v>
      </c>
      <c r="G2731" s="124">
        <v>9.68</v>
      </c>
      <c r="H2731" s="144">
        <f>VLOOKUP(D2731,Bahan,6,FALSE)</f>
        <v>1880</v>
      </c>
      <c r="I2731" s="126">
        <f>G2731*H2731</f>
        <v>18198.399999999998</v>
      </c>
    </row>
    <row r="2732" spans="2:10" ht="15.95" customHeight="1" thickBot="1" x14ac:dyDescent="0.3">
      <c r="C2732" s="122"/>
      <c r="D2732" s="117" t="s">
        <v>493</v>
      </c>
      <c r="E2732" s="118"/>
      <c r="F2732" s="123" t="s">
        <v>158</v>
      </c>
      <c r="G2732" s="124">
        <v>4.4999999999999998E-2</v>
      </c>
      <c r="H2732" s="144">
        <f>VLOOKUP(D2732,Bahan,6,FALSE)</f>
        <v>253510</v>
      </c>
      <c r="I2732" s="126">
        <f>G2732*H2732</f>
        <v>11407.949999999999</v>
      </c>
    </row>
    <row r="2733" spans="2:10" ht="15.95" customHeight="1" thickBot="1" x14ac:dyDescent="0.3">
      <c r="C2733" s="132"/>
      <c r="D2733" s="133"/>
      <c r="E2733" s="134"/>
      <c r="F2733" s="134"/>
      <c r="G2733" s="135" t="s">
        <v>386</v>
      </c>
      <c r="H2733" s="136"/>
      <c r="I2733" s="137">
        <f>SUM(I2730:I2732)</f>
        <v>102406.34999999999</v>
      </c>
    </row>
    <row r="2734" spans="2:10" ht="15.95" customHeight="1" thickBot="1" x14ac:dyDescent="0.3">
      <c r="C2734" s="116" t="s">
        <v>387</v>
      </c>
      <c r="D2734" s="117" t="s">
        <v>388</v>
      </c>
      <c r="E2734" s="118"/>
      <c r="F2734" s="118"/>
      <c r="G2734" s="165"/>
      <c r="H2734" s="144">
        <f>IF(AND(D2734&lt;&gt;"",F2734&lt;&gt;""),IF(C2734="",IF(F2734="OH",VLOOKUP(D2734,[1]UPAH!$B$3:$G$32,7,0),VLOOKUP(D2734,[1]BAHAN!$A$2:$D$3,4,0)),0),0)</f>
        <v>0</v>
      </c>
      <c r="I2734" s="126">
        <f>G2734*H2734</f>
        <v>0</v>
      </c>
    </row>
    <row r="2735" spans="2:10" ht="15.95" customHeight="1" thickBot="1" x14ac:dyDescent="0.3">
      <c r="C2735" s="132"/>
      <c r="D2735" s="133"/>
      <c r="E2735" s="134"/>
      <c r="F2735" s="134"/>
      <c r="G2735" s="135" t="s">
        <v>389</v>
      </c>
      <c r="H2735" s="136"/>
      <c r="I2735" s="137">
        <f>I2734</f>
        <v>0</v>
      </c>
    </row>
    <row r="2736" spans="2:10" ht="15.95" customHeight="1" x14ac:dyDescent="0.25">
      <c r="C2736" s="158" t="s">
        <v>390</v>
      </c>
      <c r="D2736" s="159" t="s">
        <v>391</v>
      </c>
      <c r="E2736" s="160"/>
      <c r="F2736" s="160"/>
      <c r="G2736" s="161"/>
      <c r="H2736" s="162">
        <f>IF(AND(D2736&lt;&gt;"",F2736&lt;&gt;""),IF(C2736="",IF(F2736="OH",VLOOKUP(D2736,[1]UPAH!$B$3:$G$32,7,0),VLOOKUP(D2736,[1]BAHAN!$A$2:$D$3,4,0)),0),0)</f>
        <v>0</v>
      </c>
      <c r="I2736" s="126">
        <f>SUM(I2723:I2735)/2</f>
        <v>159106.35</v>
      </c>
    </row>
    <row r="2737" spans="2:10" ht="15.95" customHeight="1" thickBot="1" x14ac:dyDescent="0.3">
      <c r="C2737" s="147" t="s">
        <v>392</v>
      </c>
      <c r="D2737" s="148" t="s">
        <v>393</v>
      </c>
      <c r="E2737" s="149"/>
      <c r="F2737" s="149"/>
      <c r="G2737" s="164">
        <v>0.1</v>
      </c>
      <c r="H2737" s="151"/>
      <c r="I2737" s="146">
        <f>G2737*I2736</f>
        <v>15910.635000000002</v>
      </c>
    </row>
    <row r="2738" spans="2:10" ht="15.95" customHeight="1" thickBot="1" x14ac:dyDescent="0.3">
      <c r="C2738" s="111" t="s">
        <v>394</v>
      </c>
      <c r="D2738" s="112" t="s">
        <v>395</v>
      </c>
      <c r="E2738" s="134"/>
      <c r="F2738" s="134"/>
      <c r="G2738" s="156"/>
      <c r="H2738" s="136">
        <f>IF(AND(D2738&lt;&gt;"",F2738&lt;&gt;""),IF(C2738="",IF(F2738="OH",VLOOKUP(D2738,[1]UPAH!$B$3:$G$32,7,0),VLOOKUP(D2738,[1]BAHAN!$A$2:$D$3,4,0)),0),0)</f>
        <v>0</v>
      </c>
      <c r="I2738" s="137">
        <f>ROUNDDOWN(I2736+I2737,0)</f>
        <v>175016</v>
      </c>
    </row>
    <row r="2739" spans="2:10" ht="15.95" customHeight="1" x14ac:dyDescent="0.25">
      <c r="C2739" s="109"/>
      <c r="D2739" s="109"/>
      <c r="G2739" s="157"/>
    </row>
    <row r="2740" spans="2:10" ht="15.95" customHeight="1" thickBot="1" x14ac:dyDescent="0.3">
      <c r="B2740" s="109" t="s">
        <v>839</v>
      </c>
      <c r="C2740" t="s">
        <v>840</v>
      </c>
      <c r="G2740" s="157"/>
      <c r="J2740" s="110">
        <f>I2757</f>
        <v>173319</v>
      </c>
    </row>
    <row r="2741" spans="2:10" ht="15.95" customHeight="1" thickBot="1" x14ac:dyDescent="0.3">
      <c r="C2741" s="111" t="s">
        <v>328</v>
      </c>
      <c r="D2741" s="112" t="s">
        <v>359</v>
      </c>
      <c r="E2741" s="113" t="s">
        <v>360</v>
      </c>
      <c r="F2741" s="113" t="s">
        <v>330</v>
      </c>
      <c r="G2741" s="114" t="s">
        <v>361</v>
      </c>
      <c r="H2741" s="112" t="s">
        <v>362</v>
      </c>
      <c r="I2741" s="115" t="s">
        <v>363</v>
      </c>
    </row>
    <row r="2742" spans="2:10" ht="15.95" customHeight="1" x14ac:dyDescent="0.25">
      <c r="C2742" s="116" t="s">
        <v>364</v>
      </c>
      <c r="D2742" s="117" t="s">
        <v>365</v>
      </c>
      <c r="E2742" s="118"/>
      <c r="F2742" s="118"/>
      <c r="G2742" s="165"/>
      <c r="H2742" s="144"/>
      <c r="I2742" s="126"/>
    </row>
    <row r="2743" spans="2:10" ht="15.95" customHeight="1" x14ac:dyDescent="0.25">
      <c r="C2743" s="122"/>
      <c r="D2743" s="117" t="s">
        <v>366</v>
      </c>
      <c r="E2743" s="123" t="s">
        <v>367</v>
      </c>
      <c r="F2743" s="123" t="s">
        <v>368</v>
      </c>
      <c r="G2743" s="124">
        <v>0.3</v>
      </c>
      <c r="H2743" s="125">
        <f>VLOOKUP(D2743,Upah,8,FALSE)</f>
        <v>125000</v>
      </c>
      <c r="I2743" s="126">
        <f>G2743*H2743</f>
        <v>37500</v>
      </c>
    </row>
    <row r="2744" spans="2:10" ht="15.95" customHeight="1" x14ac:dyDescent="0.25">
      <c r="C2744" s="122"/>
      <c r="D2744" s="117" t="s">
        <v>505</v>
      </c>
      <c r="E2744" s="123" t="s">
        <v>414</v>
      </c>
      <c r="F2744" s="123" t="s">
        <v>368</v>
      </c>
      <c r="G2744" s="124">
        <v>0.1</v>
      </c>
      <c r="H2744" s="125">
        <f>VLOOKUP(D2744,Upah,8,FALSE)</f>
        <v>150000</v>
      </c>
      <c r="I2744" s="126">
        <f>G2744*H2744</f>
        <v>15000</v>
      </c>
    </row>
    <row r="2745" spans="2:10" ht="15.95" customHeight="1" x14ac:dyDescent="0.25">
      <c r="C2745" s="122"/>
      <c r="D2745" s="117" t="s">
        <v>371</v>
      </c>
      <c r="E2745" s="123" t="s">
        <v>372</v>
      </c>
      <c r="F2745" s="123" t="s">
        <v>368</v>
      </c>
      <c r="G2745" s="124">
        <v>0.01</v>
      </c>
      <c r="H2745" s="125">
        <f>VLOOKUP(D2745,Upah,8,FALSE)</f>
        <v>165000</v>
      </c>
      <c r="I2745" s="126">
        <f>G2745*H2745</f>
        <v>1650</v>
      </c>
    </row>
    <row r="2746" spans="2:10" ht="15.95" customHeight="1" thickBot="1" x14ac:dyDescent="0.3">
      <c r="C2746" s="122"/>
      <c r="D2746" s="117" t="s">
        <v>373</v>
      </c>
      <c r="E2746" s="123" t="s">
        <v>374</v>
      </c>
      <c r="F2746" s="123" t="s">
        <v>368</v>
      </c>
      <c r="G2746" s="124">
        <v>1.4999999999999999E-2</v>
      </c>
      <c r="H2746" s="125">
        <f>VLOOKUP(D2746,Upah,8,FALSE)</f>
        <v>170000</v>
      </c>
      <c r="I2746" s="126">
        <f>G2746*H2746</f>
        <v>2550</v>
      </c>
    </row>
    <row r="2747" spans="2:10" ht="15.95" customHeight="1" thickBot="1" x14ac:dyDescent="0.3">
      <c r="C2747" s="132"/>
      <c r="D2747" s="133"/>
      <c r="E2747" s="134"/>
      <c r="F2747" s="134"/>
      <c r="G2747" s="135" t="s">
        <v>375</v>
      </c>
      <c r="H2747" s="136"/>
      <c r="I2747" s="137">
        <f>SUM(I2743:I2746)</f>
        <v>56700</v>
      </c>
    </row>
    <row r="2748" spans="2:10" ht="15.95" customHeight="1" x14ac:dyDescent="0.25">
      <c r="C2748" s="116" t="s">
        <v>376</v>
      </c>
      <c r="D2748" s="117" t="s">
        <v>377</v>
      </c>
      <c r="E2748" s="118"/>
      <c r="F2748" s="118"/>
      <c r="G2748" s="165"/>
      <c r="H2748" s="144"/>
      <c r="I2748" s="126"/>
    </row>
    <row r="2749" spans="2:10" ht="15.95" customHeight="1" x14ac:dyDescent="0.25">
      <c r="C2749" s="122"/>
      <c r="D2749" s="117" t="s">
        <v>417</v>
      </c>
      <c r="E2749" s="118"/>
      <c r="F2749" s="123" t="s">
        <v>130</v>
      </c>
      <c r="G2749" s="124">
        <v>70</v>
      </c>
      <c r="H2749" s="144">
        <f>VLOOKUP(D2749,Bahan,6,FALSE)</f>
        <v>1040</v>
      </c>
      <c r="I2749" s="126">
        <f>G2749*H2749</f>
        <v>72800</v>
      </c>
    </row>
    <row r="2750" spans="2:10" ht="15.95" customHeight="1" x14ac:dyDescent="0.25">
      <c r="C2750" s="122"/>
      <c r="D2750" s="117" t="s">
        <v>380</v>
      </c>
      <c r="E2750" s="118"/>
      <c r="F2750" s="123" t="s">
        <v>159</v>
      </c>
      <c r="G2750" s="124">
        <v>8.32</v>
      </c>
      <c r="H2750" s="144">
        <f>VLOOKUP(D2750,Bahan,6,FALSE)</f>
        <v>1880</v>
      </c>
      <c r="I2750" s="126">
        <f>G2750*H2750</f>
        <v>15641.6</v>
      </c>
    </row>
    <row r="2751" spans="2:10" ht="15.95" customHeight="1" thickBot="1" x14ac:dyDescent="0.3">
      <c r="C2751" s="122"/>
      <c r="D2751" s="117" t="s">
        <v>493</v>
      </c>
      <c r="E2751" s="118"/>
      <c r="F2751" s="123" t="s">
        <v>158</v>
      </c>
      <c r="G2751" s="124">
        <v>4.9000000000000002E-2</v>
      </c>
      <c r="H2751" s="144">
        <f>VLOOKUP(D2751,Bahan,6,FALSE)</f>
        <v>253510</v>
      </c>
      <c r="I2751" s="126">
        <f>G2751*H2751</f>
        <v>12421.99</v>
      </c>
    </row>
    <row r="2752" spans="2:10" ht="15.95" customHeight="1" thickBot="1" x14ac:dyDescent="0.3">
      <c r="C2752" s="132"/>
      <c r="D2752" s="133"/>
      <c r="E2752" s="134"/>
      <c r="F2752" s="134"/>
      <c r="G2752" s="135" t="s">
        <v>386</v>
      </c>
      <c r="H2752" s="136"/>
      <c r="I2752" s="137">
        <f>SUM(I2749:I2751)</f>
        <v>100863.59000000001</v>
      </c>
    </row>
    <row r="2753" spans="2:10" ht="15.95" customHeight="1" thickBot="1" x14ac:dyDescent="0.3">
      <c r="C2753" s="116" t="s">
        <v>387</v>
      </c>
      <c r="D2753" s="117" t="s">
        <v>388</v>
      </c>
      <c r="E2753" s="118"/>
      <c r="F2753" s="118"/>
      <c r="G2753" s="165"/>
      <c r="H2753" s="144">
        <f>IF(AND(D2753&lt;&gt;"",F2753&lt;&gt;""),IF(C2753="",IF(F2753="OH",VLOOKUP(D2753,[1]UPAH!$B$3:$G$32,7,0),VLOOKUP(D2753,[1]BAHAN!$A$2:$D$3,4,0)),0),0)</f>
        <v>0</v>
      </c>
      <c r="I2753" s="126">
        <f>G2753*H2753</f>
        <v>0</v>
      </c>
    </row>
    <row r="2754" spans="2:10" ht="15.95" customHeight="1" thickBot="1" x14ac:dyDescent="0.3">
      <c r="C2754" s="132"/>
      <c r="D2754" s="133"/>
      <c r="E2754" s="134"/>
      <c r="F2754" s="134"/>
      <c r="G2754" s="135" t="s">
        <v>389</v>
      </c>
      <c r="H2754" s="136"/>
      <c r="I2754" s="137">
        <f>I2753</f>
        <v>0</v>
      </c>
    </row>
    <row r="2755" spans="2:10" ht="15.95" customHeight="1" x14ac:dyDescent="0.25">
      <c r="C2755" s="158" t="s">
        <v>390</v>
      </c>
      <c r="D2755" s="159" t="s">
        <v>391</v>
      </c>
      <c r="E2755" s="160"/>
      <c r="F2755" s="160"/>
      <c r="G2755" s="161"/>
      <c r="H2755" s="162">
        <f>IF(AND(D2755&lt;&gt;"",F2755&lt;&gt;""),IF(C2755="",IF(F2755="OH",VLOOKUP(D2755,[1]UPAH!$B$3:$G$32,7,0),VLOOKUP(D2755,[1]BAHAN!$A$2:$D$3,4,0)),0),0)</f>
        <v>0</v>
      </c>
      <c r="I2755" s="126">
        <f>SUM(I2742:I2754)/2</f>
        <v>157563.59</v>
      </c>
    </row>
    <row r="2756" spans="2:10" ht="15.95" customHeight="1" thickBot="1" x14ac:dyDescent="0.3">
      <c r="C2756" s="147" t="s">
        <v>392</v>
      </c>
      <c r="D2756" s="148" t="s">
        <v>393</v>
      </c>
      <c r="E2756" s="149"/>
      <c r="F2756" s="149"/>
      <c r="G2756" s="164">
        <v>0.1</v>
      </c>
      <c r="H2756" s="151"/>
      <c r="I2756" s="146">
        <f>G2756*I2755</f>
        <v>15756.359</v>
      </c>
    </row>
    <row r="2757" spans="2:10" ht="15.95" customHeight="1" thickBot="1" x14ac:dyDescent="0.3">
      <c r="C2757" s="111" t="s">
        <v>394</v>
      </c>
      <c r="D2757" s="112" t="s">
        <v>395</v>
      </c>
      <c r="E2757" s="134"/>
      <c r="F2757" s="134"/>
      <c r="G2757" s="156"/>
      <c r="H2757" s="136">
        <f>IF(AND(D2757&lt;&gt;"",F2757&lt;&gt;""),IF(C2757="",IF(F2757="OH",VLOOKUP(D2757,[1]UPAH!$B$3:$G$32,7,0),VLOOKUP(D2757,[1]BAHAN!$A$2:$D$3,4,0)),0),0)</f>
        <v>0</v>
      </c>
      <c r="I2757" s="137">
        <f>ROUNDDOWN(I2755+I2756,0)</f>
        <v>173319</v>
      </c>
    </row>
    <row r="2758" spans="2:10" ht="15.95" customHeight="1" x14ac:dyDescent="0.25">
      <c r="C2758" s="109"/>
      <c r="D2758" s="109"/>
      <c r="G2758" s="157"/>
    </row>
    <row r="2759" spans="2:10" ht="15.95" customHeight="1" thickBot="1" x14ac:dyDescent="0.3">
      <c r="B2759" s="109" t="s">
        <v>841</v>
      </c>
      <c r="C2759" s="104" t="s">
        <v>842</v>
      </c>
      <c r="G2759" s="157"/>
      <c r="J2759" s="110">
        <f>I2776</f>
        <v>169835</v>
      </c>
    </row>
    <row r="2760" spans="2:10" ht="15.95" customHeight="1" thickBot="1" x14ac:dyDescent="0.3">
      <c r="C2760" s="111" t="s">
        <v>328</v>
      </c>
      <c r="D2760" s="112" t="s">
        <v>359</v>
      </c>
      <c r="E2760" s="113" t="s">
        <v>360</v>
      </c>
      <c r="F2760" s="113" t="s">
        <v>330</v>
      </c>
      <c r="G2760" s="114" t="s">
        <v>361</v>
      </c>
      <c r="H2760" s="112" t="s">
        <v>362</v>
      </c>
      <c r="I2760" s="115" t="s">
        <v>363</v>
      </c>
    </row>
    <row r="2761" spans="2:10" ht="15.95" customHeight="1" x14ac:dyDescent="0.25">
      <c r="C2761" s="116" t="s">
        <v>364</v>
      </c>
      <c r="D2761" s="117" t="s">
        <v>365</v>
      </c>
      <c r="E2761" s="118"/>
      <c r="F2761" s="118"/>
      <c r="G2761" s="165"/>
      <c r="H2761" s="144"/>
      <c r="I2761" s="126"/>
    </row>
    <row r="2762" spans="2:10" ht="15.95" customHeight="1" x14ac:dyDescent="0.25">
      <c r="C2762" s="122"/>
      <c r="D2762" s="117" t="s">
        <v>366</v>
      </c>
      <c r="E2762" s="123" t="s">
        <v>367</v>
      </c>
      <c r="F2762" s="123" t="s">
        <v>368</v>
      </c>
      <c r="G2762" s="124">
        <v>0.3</v>
      </c>
      <c r="H2762" s="125">
        <f>VLOOKUP(D2762,Upah,8,FALSE)</f>
        <v>125000</v>
      </c>
      <c r="I2762" s="126">
        <f>G2762*H2762</f>
        <v>37500</v>
      </c>
    </row>
    <row r="2763" spans="2:10" ht="15.95" customHeight="1" x14ac:dyDescent="0.25">
      <c r="C2763" s="122"/>
      <c r="D2763" s="117" t="s">
        <v>505</v>
      </c>
      <c r="E2763" s="123" t="s">
        <v>414</v>
      </c>
      <c r="F2763" s="123" t="s">
        <v>368</v>
      </c>
      <c r="G2763" s="124">
        <v>0.1</v>
      </c>
      <c r="H2763" s="125">
        <f>VLOOKUP(D2763,Upah,8,FALSE)</f>
        <v>150000</v>
      </c>
      <c r="I2763" s="126">
        <f>G2763*H2763</f>
        <v>15000</v>
      </c>
    </row>
    <row r="2764" spans="2:10" ht="15.95" customHeight="1" x14ac:dyDescent="0.25">
      <c r="C2764" s="122"/>
      <c r="D2764" s="117" t="s">
        <v>371</v>
      </c>
      <c r="E2764" s="123" t="s">
        <v>372</v>
      </c>
      <c r="F2764" s="123" t="s">
        <v>368</v>
      </c>
      <c r="G2764" s="124">
        <v>0.01</v>
      </c>
      <c r="H2764" s="125">
        <f>VLOOKUP(D2764,Upah,8,FALSE)</f>
        <v>165000</v>
      </c>
      <c r="I2764" s="126">
        <f>G2764*H2764</f>
        <v>1650</v>
      </c>
    </row>
    <row r="2765" spans="2:10" ht="15.95" customHeight="1" thickBot="1" x14ac:dyDescent="0.3">
      <c r="C2765" s="122"/>
      <c r="D2765" s="117" t="s">
        <v>373</v>
      </c>
      <c r="E2765" s="123" t="s">
        <v>374</v>
      </c>
      <c r="F2765" s="123" t="s">
        <v>368</v>
      </c>
      <c r="G2765" s="124">
        <v>1.4999999999999999E-2</v>
      </c>
      <c r="H2765" s="125">
        <f>VLOOKUP(D2765,Upah,8,FALSE)</f>
        <v>170000</v>
      </c>
      <c r="I2765" s="126">
        <f>G2765*H2765</f>
        <v>2550</v>
      </c>
    </row>
    <row r="2766" spans="2:10" ht="15.95" customHeight="1" thickBot="1" x14ac:dyDescent="0.3">
      <c r="C2766" s="132"/>
      <c r="D2766" s="133"/>
      <c r="E2766" s="134"/>
      <c r="F2766" s="134"/>
      <c r="G2766" s="135" t="s">
        <v>375</v>
      </c>
      <c r="H2766" s="136"/>
      <c r="I2766" s="137">
        <f>SUM(I2762:I2765)</f>
        <v>56700</v>
      </c>
    </row>
    <row r="2767" spans="2:10" ht="15.95" customHeight="1" x14ac:dyDescent="0.25">
      <c r="C2767" s="116" t="s">
        <v>376</v>
      </c>
      <c r="D2767" s="117" t="s">
        <v>377</v>
      </c>
      <c r="E2767" s="118"/>
      <c r="F2767" s="118"/>
      <c r="G2767" s="165"/>
      <c r="H2767" s="144"/>
      <c r="I2767" s="126"/>
    </row>
    <row r="2768" spans="2:10" ht="15.95" customHeight="1" x14ac:dyDescent="0.25">
      <c r="C2768" s="122"/>
      <c r="D2768" s="117" t="s">
        <v>417</v>
      </c>
      <c r="E2768" s="118"/>
      <c r="F2768" s="123" t="s">
        <v>130</v>
      </c>
      <c r="G2768" s="124">
        <v>70</v>
      </c>
      <c r="H2768" s="144">
        <f>VLOOKUP(D2768,Bahan,6,FALSE)</f>
        <v>1040</v>
      </c>
      <c r="I2768" s="126">
        <f>G2768*H2768</f>
        <v>72800</v>
      </c>
    </row>
    <row r="2769" spans="2:10" ht="15.95" customHeight="1" x14ac:dyDescent="0.25">
      <c r="C2769" s="122"/>
      <c r="D2769" s="117" t="s">
        <v>380</v>
      </c>
      <c r="E2769" s="118"/>
      <c r="F2769" s="123" t="s">
        <v>159</v>
      </c>
      <c r="G2769" s="124">
        <v>6.5</v>
      </c>
      <c r="H2769" s="144">
        <f>VLOOKUP(D2769,Bahan,6,FALSE)</f>
        <v>1880</v>
      </c>
      <c r="I2769" s="126">
        <f>G2769*H2769</f>
        <v>12220</v>
      </c>
    </row>
    <row r="2770" spans="2:10" ht="15.95" customHeight="1" thickBot="1" x14ac:dyDescent="0.3">
      <c r="C2770" s="122"/>
      <c r="D2770" s="117" t="s">
        <v>493</v>
      </c>
      <c r="E2770" s="118"/>
      <c r="F2770" s="123" t="s">
        <v>158</v>
      </c>
      <c r="G2770" s="124">
        <v>0.05</v>
      </c>
      <c r="H2770" s="144">
        <f>VLOOKUP(D2770,Bahan,6,FALSE)</f>
        <v>253510</v>
      </c>
      <c r="I2770" s="126">
        <f>G2770*H2770</f>
        <v>12675.5</v>
      </c>
    </row>
    <row r="2771" spans="2:10" ht="15.95" customHeight="1" thickBot="1" x14ac:dyDescent="0.3">
      <c r="C2771" s="132"/>
      <c r="D2771" s="133"/>
      <c r="E2771" s="134"/>
      <c r="F2771" s="134"/>
      <c r="G2771" s="135" t="s">
        <v>386</v>
      </c>
      <c r="H2771" s="136"/>
      <c r="I2771" s="137">
        <f>SUM(I2768:I2770)</f>
        <v>97695.5</v>
      </c>
    </row>
    <row r="2772" spans="2:10" ht="15.95" customHeight="1" thickBot="1" x14ac:dyDescent="0.3">
      <c r="C2772" s="116" t="s">
        <v>387</v>
      </c>
      <c r="D2772" s="117" t="s">
        <v>388</v>
      </c>
      <c r="E2772" s="118"/>
      <c r="F2772" s="118"/>
      <c r="G2772" s="165"/>
      <c r="H2772" s="144">
        <f>IF(AND(D2772&lt;&gt;"",F2772&lt;&gt;""),IF(C2772="",IF(F2772="OH",VLOOKUP(D2772,[1]UPAH!$B$3:$G$32,7,0),VLOOKUP(D2772,[1]BAHAN!$A$2:$D$3,4,0)),0),0)</f>
        <v>0</v>
      </c>
      <c r="I2772" s="126">
        <f>G2772*H2772</f>
        <v>0</v>
      </c>
    </row>
    <row r="2773" spans="2:10" ht="15.95" customHeight="1" thickBot="1" x14ac:dyDescent="0.3">
      <c r="C2773" s="132"/>
      <c r="D2773" s="133"/>
      <c r="E2773" s="134"/>
      <c r="F2773" s="134"/>
      <c r="G2773" s="135" t="s">
        <v>389</v>
      </c>
      <c r="H2773" s="136"/>
      <c r="I2773" s="137">
        <f>I2772</f>
        <v>0</v>
      </c>
    </row>
    <row r="2774" spans="2:10" ht="15.95" customHeight="1" x14ac:dyDescent="0.25">
      <c r="C2774" s="158" t="s">
        <v>390</v>
      </c>
      <c r="D2774" s="159" t="s">
        <v>391</v>
      </c>
      <c r="E2774" s="160"/>
      <c r="F2774" s="160"/>
      <c r="G2774" s="161"/>
      <c r="H2774" s="162">
        <f>IF(AND(D2774&lt;&gt;"",F2774&lt;&gt;""),IF(C2774="",IF(F2774="OH",VLOOKUP(D2774,[1]UPAH!$B$3:$G$32,7,0),VLOOKUP(D2774,[1]BAHAN!$A$2:$D$3,4,0)),0),0)</f>
        <v>0</v>
      </c>
      <c r="I2774" s="126">
        <f>SUM(I2761:I2773)/2</f>
        <v>154395.5</v>
      </c>
    </row>
    <row r="2775" spans="2:10" ht="15.95" customHeight="1" thickBot="1" x14ac:dyDescent="0.3">
      <c r="C2775" s="147" t="s">
        <v>392</v>
      </c>
      <c r="D2775" s="148" t="s">
        <v>393</v>
      </c>
      <c r="E2775" s="149"/>
      <c r="F2775" s="149"/>
      <c r="G2775" s="164">
        <v>0.1</v>
      </c>
      <c r="H2775" s="151"/>
      <c r="I2775" s="146">
        <f>G2775*I2774</f>
        <v>15439.550000000001</v>
      </c>
    </row>
    <row r="2776" spans="2:10" ht="15.95" customHeight="1" thickBot="1" x14ac:dyDescent="0.3">
      <c r="C2776" s="111" t="s">
        <v>394</v>
      </c>
      <c r="D2776" s="112" t="s">
        <v>395</v>
      </c>
      <c r="E2776" s="134"/>
      <c r="F2776" s="134"/>
      <c r="G2776" s="156"/>
      <c r="H2776" s="136">
        <f>IF(AND(D2776&lt;&gt;"",F2776&lt;&gt;""),IF(C2776="",IF(F2776="OH",VLOOKUP(D2776,[1]UPAH!$B$3:$G$32,7,0),VLOOKUP(D2776,[1]BAHAN!$A$2:$D$3,4,0)),0),0)</f>
        <v>0</v>
      </c>
      <c r="I2776" s="137">
        <f>ROUNDDOWN(I2774+I2775,0)</f>
        <v>169835</v>
      </c>
    </row>
    <row r="2777" spans="2:10" ht="15.95" customHeight="1" x14ac:dyDescent="0.25">
      <c r="C2777" s="109"/>
      <c r="D2777" s="109"/>
      <c r="G2777" s="157"/>
    </row>
    <row r="2778" spans="2:10" ht="15.95" customHeight="1" thickBot="1" x14ac:dyDescent="0.3">
      <c r="B2778" s="109" t="s">
        <v>843</v>
      </c>
      <c r="C2778" s="104" t="s">
        <v>844</v>
      </c>
      <c r="G2778" s="157"/>
      <c r="J2778" s="110">
        <f>I2796</f>
        <v>173106</v>
      </c>
    </row>
    <row r="2779" spans="2:10" ht="15.95" customHeight="1" thickBot="1" x14ac:dyDescent="0.3">
      <c r="C2779" s="111" t="s">
        <v>328</v>
      </c>
      <c r="D2779" s="112" t="s">
        <v>359</v>
      </c>
      <c r="E2779" s="113" t="s">
        <v>360</v>
      </c>
      <c r="F2779" s="113" t="s">
        <v>330</v>
      </c>
      <c r="G2779" s="114" t="s">
        <v>361</v>
      </c>
      <c r="H2779" s="112" t="s">
        <v>362</v>
      </c>
      <c r="I2779" s="115" t="s">
        <v>363</v>
      </c>
    </row>
    <row r="2780" spans="2:10" ht="15.95" customHeight="1" x14ac:dyDescent="0.25">
      <c r="C2780" s="116" t="s">
        <v>364</v>
      </c>
      <c r="D2780" s="117" t="s">
        <v>365</v>
      </c>
      <c r="E2780" s="118"/>
      <c r="F2780" s="118"/>
      <c r="G2780" s="165"/>
      <c r="H2780" s="144"/>
      <c r="I2780" s="126"/>
    </row>
    <row r="2781" spans="2:10" ht="15.95" customHeight="1" x14ac:dyDescent="0.25">
      <c r="C2781" s="122"/>
      <c r="D2781" s="117" t="s">
        <v>366</v>
      </c>
      <c r="E2781" s="123" t="s">
        <v>367</v>
      </c>
      <c r="F2781" s="123" t="s">
        <v>368</v>
      </c>
      <c r="G2781" s="124">
        <v>0.3</v>
      </c>
      <c r="H2781" s="125">
        <f>VLOOKUP(D2781,Upah,8,FALSE)</f>
        <v>125000</v>
      </c>
      <c r="I2781" s="126">
        <f>G2781*H2781</f>
        <v>37500</v>
      </c>
    </row>
    <row r="2782" spans="2:10" ht="15.95" customHeight="1" x14ac:dyDescent="0.25">
      <c r="C2782" s="122"/>
      <c r="D2782" s="117" t="s">
        <v>505</v>
      </c>
      <c r="E2782" s="123" t="s">
        <v>414</v>
      </c>
      <c r="F2782" s="123" t="s">
        <v>368</v>
      </c>
      <c r="G2782" s="124">
        <v>0.1</v>
      </c>
      <c r="H2782" s="125">
        <f>VLOOKUP(D2782,Upah,8,FALSE)</f>
        <v>150000</v>
      </c>
      <c r="I2782" s="126">
        <f>G2782*H2782</f>
        <v>15000</v>
      </c>
    </row>
    <row r="2783" spans="2:10" ht="15.95" customHeight="1" x14ac:dyDescent="0.25">
      <c r="C2783" s="122"/>
      <c r="D2783" s="117" t="s">
        <v>371</v>
      </c>
      <c r="E2783" s="123" t="s">
        <v>372</v>
      </c>
      <c r="F2783" s="123" t="s">
        <v>368</v>
      </c>
      <c r="G2783" s="124">
        <v>0.01</v>
      </c>
      <c r="H2783" s="125">
        <f>VLOOKUP(D2783,Upah,8,FALSE)</f>
        <v>165000</v>
      </c>
      <c r="I2783" s="126">
        <f>G2783*H2783</f>
        <v>1650</v>
      </c>
    </row>
    <row r="2784" spans="2:10" ht="15.95" customHeight="1" thickBot="1" x14ac:dyDescent="0.3">
      <c r="C2784" s="122"/>
      <c r="D2784" s="117" t="s">
        <v>373</v>
      </c>
      <c r="E2784" s="123" t="s">
        <v>374</v>
      </c>
      <c r="F2784" s="123" t="s">
        <v>368</v>
      </c>
      <c r="G2784" s="124">
        <v>1.4999999999999999E-2</v>
      </c>
      <c r="H2784" s="125">
        <f>VLOOKUP(D2784,Upah,8,FALSE)</f>
        <v>170000</v>
      </c>
      <c r="I2784" s="126">
        <f>G2784*H2784</f>
        <v>2550</v>
      </c>
    </row>
    <row r="2785" spans="2:10" ht="15.95" customHeight="1" thickBot="1" x14ac:dyDescent="0.3">
      <c r="C2785" s="132"/>
      <c r="D2785" s="133"/>
      <c r="E2785" s="134"/>
      <c r="F2785" s="134"/>
      <c r="G2785" s="135" t="s">
        <v>375</v>
      </c>
      <c r="H2785" s="136"/>
      <c r="I2785" s="137">
        <f>SUM(I2781:I2784)</f>
        <v>56700</v>
      </c>
    </row>
    <row r="2786" spans="2:10" ht="15.95" customHeight="1" x14ac:dyDescent="0.25">
      <c r="C2786" s="116" t="s">
        <v>376</v>
      </c>
      <c r="D2786" s="117" t="s">
        <v>377</v>
      </c>
      <c r="E2786" s="118"/>
      <c r="F2786" s="118"/>
      <c r="G2786" s="165"/>
      <c r="H2786" s="144"/>
      <c r="I2786" s="126"/>
    </row>
    <row r="2787" spans="2:10" ht="15.95" customHeight="1" x14ac:dyDescent="0.25">
      <c r="C2787" s="122"/>
      <c r="D2787" s="117" t="s">
        <v>417</v>
      </c>
      <c r="E2787" s="118"/>
      <c r="F2787" s="123" t="s">
        <v>130</v>
      </c>
      <c r="G2787" s="124">
        <v>70</v>
      </c>
      <c r="H2787" s="144">
        <f>VLOOKUP(D2787,Bahan,6,FALSE)</f>
        <v>1040</v>
      </c>
      <c r="I2787" s="126">
        <f>G2787*H2787</f>
        <v>72800</v>
      </c>
    </row>
    <row r="2788" spans="2:10" ht="15.95" customHeight="1" x14ac:dyDescent="0.25">
      <c r="C2788" s="122"/>
      <c r="D2788" s="117" t="s">
        <v>380</v>
      </c>
      <c r="E2788" s="118"/>
      <c r="F2788" s="123" t="s">
        <v>159</v>
      </c>
      <c r="G2788" s="124">
        <v>4.5</v>
      </c>
      <c r="H2788" s="144">
        <f>VLOOKUP(D2788,Bahan,6,FALSE)</f>
        <v>1880</v>
      </c>
      <c r="I2788" s="126">
        <f>G2788*H2788</f>
        <v>8460</v>
      </c>
    </row>
    <row r="2789" spans="2:10" ht="15.95" customHeight="1" x14ac:dyDescent="0.25">
      <c r="C2789" s="122"/>
      <c r="D2789" s="117" t="s">
        <v>492</v>
      </c>
      <c r="E2789" s="118"/>
      <c r="F2789" s="123" t="s">
        <v>158</v>
      </c>
      <c r="G2789" s="124">
        <v>1.4999999999999999E-2</v>
      </c>
      <c r="H2789" s="144">
        <f>VLOOKUP(D2789,Bahan,6,FALSE)</f>
        <v>448950</v>
      </c>
      <c r="I2789" s="126">
        <f>G2789*H2789</f>
        <v>6734.25</v>
      </c>
    </row>
    <row r="2790" spans="2:10" ht="15.95" customHeight="1" thickBot="1" x14ac:dyDescent="0.3">
      <c r="C2790" s="122"/>
      <c r="D2790" s="117" t="s">
        <v>493</v>
      </c>
      <c r="E2790" s="118"/>
      <c r="F2790" s="123" t="s">
        <v>158</v>
      </c>
      <c r="G2790" s="124">
        <v>0.05</v>
      </c>
      <c r="H2790" s="144">
        <f>VLOOKUP(D2790,Bahan,6,FALSE)</f>
        <v>253510</v>
      </c>
      <c r="I2790" s="126">
        <f>G2790*H2790</f>
        <v>12675.5</v>
      </c>
    </row>
    <row r="2791" spans="2:10" ht="15.95" customHeight="1" thickBot="1" x14ac:dyDescent="0.3">
      <c r="C2791" s="132"/>
      <c r="D2791" s="133"/>
      <c r="E2791" s="134"/>
      <c r="F2791" s="134"/>
      <c r="G2791" s="135" t="s">
        <v>386</v>
      </c>
      <c r="H2791" s="136"/>
      <c r="I2791" s="137">
        <f>SUM(I2787:I2790)</f>
        <v>100669.75</v>
      </c>
    </row>
    <row r="2792" spans="2:10" ht="15.95" customHeight="1" thickBot="1" x14ac:dyDescent="0.3">
      <c r="C2792" s="116" t="s">
        <v>387</v>
      </c>
      <c r="D2792" s="117" t="s">
        <v>388</v>
      </c>
      <c r="E2792" s="118"/>
      <c r="F2792" s="118"/>
      <c r="G2792" s="165"/>
      <c r="H2792" s="144">
        <f>IF(AND(D2792&lt;&gt;"",F2792&lt;&gt;""),IF(C2792="",IF(F2792="OH",VLOOKUP(D2792,[1]UPAH!$B$3:$G$32,7,0),VLOOKUP(D2792,[1]BAHAN!$A$2:$D$3,4,0)),0),0)</f>
        <v>0</v>
      </c>
      <c r="I2792" s="126">
        <f>G2792*H2792</f>
        <v>0</v>
      </c>
    </row>
    <row r="2793" spans="2:10" ht="15.95" customHeight="1" thickBot="1" x14ac:dyDescent="0.3">
      <c r="C2793" s="132"/>
      <c r="D2793" s="133"/>
      <c r="E2793" s="134"/>
      <c r="F2793" s="134"/>
      <c r="G2793" s="135" t="s">
        <v>389</v>
      </c>
      <c r="H2793" s="136"/>
      <c r="I2793" s="137">
        <f>I2792</f>
        <v>0</v>
      </c>
    </row>
    <row r="2794" spans="2:10" ht="15.95" customHeight="1" x14ac:dyDescent="0.25">
      <c r="C2794" s="158" t="s">
        <v>390</v>
      </c>
      <c r="D2794" s="159" t="s">
        <v>391</v>
      </c>
      <c r="E2794" s="160"/>
      <c r="F2794" s="160"/>
      <c r="G2794" s="161"/>
      <c r="H2794" s="162">
        <f>IF(AND(D2794&lt;&gt;"",F2794&lt;&gt;""),IF(C2794="",IF(F2794="OH",VLOOKUP(D2794,[1]UPAH!$B$3:$G$32,7,0),VLOOKUP(D2794,[1]BAHAN!$A$2:$D$3,4,0)),0),0)</f>
        <v>0</v>
      </c>
      <c r="I2794" s="126">
        <f>SUM(I2781:I2793)/2</f>
        <v>157369.75</v>
      </c>
    </row>
    <row r="2795" spans="2:10" ht="15.95" customHeight="1" thickBot="1" x14ac:dyDescent="0.3">
      <c r="C2795" s="147" t="s">
        <v>392</v>
      </c>
      <c r="D2795" s="148" t="s">
        <v>393</v>
      </c>
      <c r="E2795" s="149"/>
      <c r="F2795" s="149"/>
      <c r="G2795" s="164">
        <v>0.1</v>
      </c>
      <c r="H2795" s="151"/>
      <c r="I2795" s="146">
        <f>G2795*I2794</f>
        <v>15736.975</v>
      </c>
    </row>
    <row r="2796" spans="2:10" ht="15.95" customHeight="1" thickBot="1" x14ac:dyDescent="0.3">
      <c r="C2796" s="111" t="s">
        <v>394</v>
      </c>
      <c r="D2796" s="112" t="s">
        <v>395</v>
      </c>
      <c r="E2796" s="134"/>
      <c r="F2796" s="134"/>
      <c r="G2796" s="156"/>
      <c r="H2796" s="136">
        <f>IF(AND(D2796&lt;&gt;"",F2796&lt;&gt;""),IF(C2796="",IF(F2796="OH",VLOOKUP(D2796,[1]UPAH!$B$3:$G$32,7,0),VLOOKUP(D2796,[1]BAHAN!$A$2:$D$3,4,0)),0),0)</f>
        <v>0</v>
      </c>
      <c r="I2796" s="137">
        <f>ROUNDDOWN(I2794+I2795,0)</f>
        <v>173106</v>
      </c>
    </row>
    <row r="2797" spans="2:10" ht="15.95" customHeight="1" x14ac:dyDescent="0.25">
      <c r="C2797" s="109"/>
      <c r="D2797" s="109"/>
      <c r="G2797" s="157"/>
    </row>
    <row r="2798" spans="2:10" ht="15.95" customHeight="1" thickBot="1" x14ac:dyDescent="0.3">
      <c r="B2798" s="109" t="s">
        <v>845</v>
      </c>
      <c r="C2798" s="104" t="s">
        <v>846</v>
      </c>
      <c r="G2798" s="157"/>
      <c r="J2798" s="110">
        <f>I2816</f>
        <v>156407</v>
      </c>
    </row>
    <row r="2799" spans="2:10" ht="15.95" customHeight="1" thickBot="1" x14ac:dyDescent="0.3">
      <c r="C2799" s="111" t="s">
        <v>328</v>
      </c>
      <c r="D2799" s="112" t="s">
        <v>359</v>
      </c>
      <c r="E2799" s="113" t="s">
        <v>360</v>
      </c>
      <c r="F2799" s="113" t="s">
        <v>330</v>
      </c>
      <c r="G2799" s="114" t="s">
        <v>361</v>
      </c>
      <c r="H2799" s="112" t="s">
        <v>362</v>
      </c>
      <c r="I2799" s="115" t="s">
        <v>363</v>
      </c>
    </row>
    <row r="2800" spans="2:10" ht="15.95" customHeight="1" x14ac:dyDescent="0.25">
      <c r="C2800" s="116" t="s">
        <v>364</v>
      </c>
      <c r="D2800" s="117" t="s">
        <v>365</v>
      </c>
      <c r="E2800" s="118"/>
      <c r="F2800" s="118"/>
      <c r="G2800" s="165"/>
      <c r="H2800" s="144"/>
      <c r="I2800" s="126"/>
    </row>
    <row r="2801" spans="3:9" ht="15.95" customHeight="1" x14ac:dyDescent="0.25">
      <c r="C2801" s="122"/>
      <c r="D2801" s="117" t="s">
        <v>366</v>
      </c>
      <c r="E2801" s="123" t="s">
        <v>367</v>
      </c>
      <c r="F2801" s="123" t="s">
        <v>368</v>
      </c>
      <c r="G2801" s="124">
        <v>0.3</v>
      </c>
      <c r="H2801" s="125">
        <f>VLOOKUP(D2801,Upah,8,FALSE)</f>
        <v>125000</v>
      </c>
      <c r="I2801" s="126">
        <f>G2801*H2801</f>
        <v>37500</v>
      </c>
    </row>
    <row r="2802" spans="3:9" ht="15.95" customHeight="1" x14ac:dyDescent="0.25">
      <c r="C2802" s="122"/>
      <c r="D2802" s="117" t="s">
        <v>505</v>
      </c>
      <c r="E2802" s="123" t="s">
        <v>414</v>
      </c>
      <c r="F2802" s="123" t="s">
        <v>368</v>
      </c>
      <c r="G2802" s="124">
        <v>0.1</v>
      </c>
      <c r="H2802" s="125">
        <f>VLOOKUP(D2802,Upah,8,FALSE)</f>
        <v>150000</v>
      </c>
      <c r="I2802" s="126">
        <f>G2802*H2802</f>
        <v>15000</v>
      </c>
    </row>
    <row r="2803" spans="3:9" ht="15.95" customHeight="1" x14ac:dyDescent="0.25">
      <c r="C2803" s="122"/>
      <c r="D2803" s="117" t="s">
        <v>371</v>
      </c>
      <c r="E2803" s="123" t="s">
        <v>372</v>
      </c>
      <c r="F2803" s="123" t="s">
        <v>368</v>
      </c>
      <c r="G2803" s="124">
        <v>0.01</v>
      </c>
      <c r="H2803" s="125">
        <f>VLOOKUP(D2803,Upah,8,FALSE)</f>
        <v>165000</v>
      </c>
      <c r="I2803" s="126">
        <f>G2803*H2803</f>
        <v>1650</v>
      </c>
    </row>
    <row r="2804" spans="3:9" ht="15.95" customHeight="1" thickBot="1" x14ac:dyDescent="0.3">
      <c r="C2804" s="122"/>
      <c r="D2804" s="117" t="s">
        <v>373</v>
      </c>
      <c r="E2804" s="123" t="s">
        <v>374</v>
      </c>
      <c r="F2804" s="123" t="s">
        <v>368</v>
      </c>
      <c r="G2804" s="124">
        <v>1.4999999999999999E-2</v>
      </c>
      <c r="H2804" s="125">
        <f>VLOOKUP(D2804,Upah,8,FALSE)</f>
        <v>170000</v>
      </c>
      <c r="I2804" s="126">
        <f>G2804*H2804</f>
        <v>2550</v>
      </c>
    </row>
    <row r="2805" spans="3:9" ht="15.95" customHeight="1" thickBot="1" x14ac:dyDescent="0.3">
      <c r="C2805" s="132"/>
      <c r="D2805" s="133"/>
      <c r="E2805" s="134"/>
      <c r="F2805" s="134"/>
      <c r="G2805" s="135" t="s">
        <v>375</v>
      </c>
      <c r="H2805" s="136"/>
      <c r="I2805" s="137">
        <f>SUM(I2801:I2804)</f>
        <v>56700</v>
      </c>
    </row>
    <row r="2806" spans="3:9" ht="15.95" customHeight="1" x14ac:dyDescent="0.25">
      <c r="C2806" s="116" t="s">
        <v>376</v>
      </c>
      <c r="D2806" s="117" t="s">
        <v>377</v>
      </c>
      <c r="E2806" s="118"/>
      <c r="F2806" s="118"/>
      <c r="G2806" s="165"/>
      <c r="H2806" s="144"/>
      <c r="I2806" s="126"/>
    </row>
    <row r="2807" spans="3:9" ht="15.95" customHeight="1" x14ac:dyDescent="0.25">
      <c r="C2807" s="122"/>
      <c r="D2807" s="117" t="s">
        <v>417</v>
      </c>
      <c r="E2807" s="118"/>
      <c r="F2807" s="123" t="s">
        <v>130</v>
      </c>
      <c r="G2807" s="124">
        <v>70</v>
      </c>
      <c r="H2807" s="144">
        <f>VLOOKUP(D2807,Bahan,6,FALSE)</f>
        <v>1040</v>
      </c>
      <c r="I2807" s="126">
        <f>G2807*H2807</f>
        <v>72800</v>
      </c>
    </row>
    <row r="2808" spans="3:9" ht="15.95" customHeight="1" x14ac:dyDescent="0.25">
      <c r="C2808" s="122"/>
      <c r="D2808" s="117" t="s">
        <v>847</v>
      </c>
      <c r="E2808" s="118"/>
      <c r="F2808" s="123" t="s">
        <v>159</v>
      </c>
      <c r="G2808" s="124">
        <v>1.7999999999999999E-2</v>
      </c>
      <c r="H2808" s="144">
        <f>VLOOKUP(D2808,Bahan,6,FALSE)</f>
        <v>2460</v>
      </c>
      <c r="I2808" s="126">
        <f>G2808*H2808</f>
        <v>44.279999999999994</v>
      </c>
    </row>
    <row r="2809" spans="3:9" ht="15.95" customHeight="1" x14ac:dyDescent="0.25">
      <c r="C2809" s="122"/>
      <c r="D2809" s="117" t="s">
        <v>492</v>
      </c>
      <c r="E2809" s="118"/>
      <c r="F2809" s="123" t="s">
        <v>158</v>
      </c>
      <c r="G2809" s="124">
        <v>1.7999999999999999E-2</v>
      </c>
      <c r="H2809" s="144">
        <f>VLOOKUP(D2809,Bahan,6,FALSE)</f>
        <v>448950</v>
      </c>
      <c r="I2809" s="126">
        <f>G2809*H2809</f>
        <v>8081.0999999999995</v>
      </c>
    </row>
    <row r="2810" spans="3:9" ht="15.95" customHeight="1" thickBot="1" x14ac:dyDescent="0.3">
      <c r="C2810" s="122"/>
      <c r="D2810" s="117" t="s">
        <v>493</v>
      </c>
      <c r="E2810" s="118"/>
      <c r="F2810" s="123" t="s">
        <v>158</v>
      </c>
      <c r="G2810" s="124">
        <v>1.7999999999999999E-2</v>
      </c>
      <c r="H2810" s="144">
        <f>VLOOKUP(D2810,Bahan,6,FALSE)</f>
        <v>253510</v>
      </c>
      <c r="I2810" s="126">
        <f>G2810*H2810</f>
        <v>4563.1799999999994</v>
      </c>
    </row>
    <row r="2811" spans="3:9" ht="15.95" customHeight="1" thickBot="1" x14ac:dyDescent="0.3">
      <c r="C2811" s="132"/>
      <c r="D2811" s="133"/>
      <c r="E2811" s="134"/>
      <c r="F2811" s="134"/>
      <c r="G2811" s="135" t="s">
        <v>386</v>
      </c>
      <c r="H2811" s="136"/>
      <c r="I2811" s="137">
        <f>SUM(I2807:I2810)</f>
        <v>85488.56</v>
      </c>
    </row>
    <row r="2812" spans="3:9" ht="15.95" customHeight="1" thickBot="1" x14ac:dyDescent="0.3">
      <c r="C2812" s="116" t="s">
        <v>387</v>
      </c>
      <c r="D2812" s="117" t="s">
        <v>388</v>
      </c>
      <c r="E2812" s="118"/>
      <c r="F2812" s="118"/>
      <c r="G2812" s="165"/>
      <c r="H2812" s="144">
        <f>IF(AND(D2812&lt;&gt;"",F2812&lt;&gt;""),IF(C2812="",IF(F2812="OH",VLOOKUP(D2812,[1]UPAH!$B$3:$G$32,7,0),VLOOKUP(D2812,[1]BAHAN!$A$2:$D$3,4,0)),0),0)</f>
        <v>0</v>
      </c>
      <c r="I2812" s="126">
        <f>G2812*H2812</f>
        <v>0</v>
      </c>
    </row>
    <row r="2813" spans="3:9" ht="15.95" customHeight="1" thickBot="1" x14ac:dyDescent="0.3">
      <c r="C2813" s="132"/>
      <c r="D2813" s="133"/>
      <c r="E2813" s="134"/>
      <c r="F2813" s="134"/>
      <c r="G2813" s="135" t="s">
        <v>389</v>
      </c>
      <c r="H2813" s="136"/>
      <c r="I2813" s="137">
        <f>I2812</f>
        <v>0</v>
      </c>
    </row>
    <row r="2814" spans="3:9" ht="15.95" customHeight="1" x14ac:dyDescent="0.25">
      <c r="C2814" s="158" t="s">
        <v>390</v>
      </c>
      <c r="D2814" s="159" t="s">
        <v>391</v>
      </c>
      <c r="E2814" s="160"/>
      <c r="F2814" s="160"/>
      <c r="G2814" s="161"/>
      <c r="H2814" s="162">
        <f>IF(AND(D2814&lt;&gt;"",F2814&lt;&gt;""),IF(C2814="",IF(F2814="OH",VLOOKUP(D2814,[1]UPAH!$B$3:$G$32,7,0),VLOOKUP(D2814,[1]BAHAN!$A$2:$D$3,4,0)),0),0)</f>
        <v>0</v>
      </c>
      <c r="I2814" s="126">
        <f>SUM(I2801:I2813)/2</f>
        <v>142188.56</v>
      </c>
    </row>
    <row r="2815" spans="3:9" ht="15.95" customHeight="1" thickBot="1" x14ac:dyDescent="0.3">
      <c r="C2815" s="147" t="s">
        <v>392</v>
      </c>
      <c r="D2815" s="148" t="s">
        <v>393</v>
      </c>
      <c r="E2815" s="149"/>
      <c r="F2815" s="149"/>
      <c r="G2815" s="164">
        <v>0.1</v>
      </c>
      <c r="H2815" s="151"/>
      <c r="I2815" s="146">
        <f>G2815*I2814</f>
        <v>14218.856</v>
      </c>
    </row>
    <row r="2816" spans="3:9" ht="15.95" customHeight="1" thickBot="1" x14ac:dyDescent="0.3">
      <c r="C2816" s="111" t="s">
        <v>394</v>
      </c>
      <c r="D2816" s="112" t="s">
        <v>395</v>
      </c>
      <c r="E2816" s="134"/>
      <c r="F2816" s="134"/>
      <c r="G2816" s="156"/>
      <c r="H2816" s="136">
        <f>IF(AND(D2816&lt;&gt;"",F2816&lt;&gt;""),IF(C2816="",IF(F2816="OH",VLOOKUP(D2816,[1]UPAH!$B$3:$G$32,7,0),VLOOKUP(D2816,[1]BAHAN!$A$2:$D$3,4,0)),0),0)</f>
        <v>0</v>
      </c>
      <c r="I2816" s="137">
        <f>ROUNDDOWN(I2814+I2815,0)</f>
        <v>156407</v>
      </c>
    </row>
    <row r="2817" spans="2:10" ht="15.95" customHeight="1" x14ac:dyDescent="0.25">
      <c r="C2817" s="109"/>
      <c r="D2817" s="109"/>
      <c r="G2817" s="157"/>
    </row>
    <row r="2818" spans="2:10" ht="15.95" customHeight="1" thickBot="1" x14ac:dyDescent="0.3">
      <c r="B2818" s="109" t="s">
        <v>848</v>
      </c>
      <c r="C2818" s="104" t="s">
        <v>849</v>
      </c>
      <c r="G2818" s="157"/>
      <c r="J2818" s="110">
        <f>I2836</f>
        <v>157209</v>
      </c>
    </row>
    <row r="2819" spans="2:10" ht="15.95" customHeight="1" thickBot="1" x14ac:dyDescent="0.3">
      <c r="C2819" s="111" t="s">
        <v>328</v>
      </c>
      <c r="D2819" s="112" t="s">
        <v>359</v>
      </c>
      <c r="E2819" s="113" t="s">
        <v>360</v>
      </c>
      <c r="F2819" s="113" t="s">
        <v>330</v>
      </c>
      <c r="G2819" s="114" t="s">
        <v>361</v>
      </c>
      <c r="H2819" s="112" t="s">
        <v>362</v>
      </c>
      <c r="I2819" s="115" t="s">
        <v>363</v>
      </c>
    </row>
    <row r="2820" spans="2:10" ht="15.95" customHeight="1" x14ac:dyDescent="0.25">
      <c r="C2820" s="158" t="s">
        <v>364</v>
      </c>
      <c r="D2820" s="159" t="s">
        <v>365</v>
      </c>
      <c r="E2820" s="160"/>
      <c r="F2820" s="160"/>
      <c r="G2820" s="161"/>
      <c r="H2820" s="162"/>
      <c r="I2820" s="163"/>
    </row>
    <row r="2821" spans="2:10" ht="15.95" customHeight="1" x14ac:dyDescent="0.25">
      <c r="C2821" s="122"/>
      <c r="D2821" s="117" t="s">
        <v>366</v>
      </c>
      <c r="E2821" s="123" t="s">
        <v>367</v>
      </c>
      <c r="F2821" s="123" t="s">
        <v>368</v>
      </c>
      <c r="G2821" s="124">
        <v>0.3</v>
      </c>
      <c r="H2821" s="125">
        <f>VLOOKUP(D2821,Upah,8,FALSE)</f>
        <v>125000</v>
      </c>
      <c r="I2821" s="126">
        <f>G2821*H2821</f>
        <v>37500</v>
      </c>
    </row>
    <row r="2822" spans="2:10" ht="15.95" customHeight="1" x14ac:dyDescent="0.25">
      <c r="C2822" s="122"/>
      <c r="D2822" s="117" t="s">
        <v>505</v>
      </c>
      <c r="E2822" s="123" t="s">
        <v>414</v>
      </c>
      <c r="F2822" s="123" t="s">
        <v>368</v>
      </c>
      <c r="G2822" s="124">
        <v>0.1</v>
      </c>
      <c r="H2822" s="125">
        <f>VLOOKUP(D2822,Upah,8,FALSE)</f>
        <v>150000</v>
      </c>
      <c r="I2822" s="126">
        <f>G2822*H2822</f>
        <v>15000</v>
      </c>
    </row>
    <row r="2823" spans="2:10" ht="15.95" customHeight="1" x14ac:dyDescent="0.25">
      <c r="C2823" s="122"/>
      <c r="D2823" s="117" t="s">
        <v>371</v>
      </c>
      <c r="E2823" s="123" t="s">
        <v>372</v>
      </c>
      <c r="F2823" s="123" t="s">
        <v>368</v>
      </c>
      <c r="G2823" s="124">
        <v>0.01</v>
      </c>
      <c r="H2823" s="125">
        <f>VLOOKUP(D2823,Upah,8,FALSE)</f>
        <v>165000</v>
      </c>
      <c r="I2823" s="126">
        <f>G2823*H2823</f>
        <v>1650</v>
      </c>
    </row>
    <row r="2824" spans="2:10" ht="15.95" customHeight="1" thickBot="1" x14ac:dyDescent="0.3">
      <c r="C2824" s="122"/>
      <c r="D2824" s="117" t="s">
        <v>373</v>
      </c>
      <c r="E2824" s="123" t="s">
        <v>374</v>
      </c>
      <c r="F2824" s="123" t="s">
        <v>368</v>
      </c>
      <c r="G2824" s="124">
        <v>1.4999999999999999E-2</v>
      </c>
      <c r="H2824" s="125">
        <f>VLOOKUP(D2824,Upah,8,FALSE)</f>
        <v>170000</v>
      </c>
      <c r="I2824" s="126">
        <f>G2824*H2824</f>
        <v>2550</v>
      </c>
    </row>
    <row r="2825" spans="2:10" ht="15.95" customHeight="1" thickBot="1" x14ac:dyDescent="0.3">
      <c r="C2825" s="132"/>
      <c r="D2825" s="133"/>
      <c r="E2825" s="134"/>
      <c r="F2825" s="134"/>
      <c r="G2825" s="135" t="s">
        <v>375</v>
      </c>
      <c r="H2825" s="136"/>
      <c r="I2825" s="137">
        <f>SUM(I2821:I2824)</f>
        <v>56700</v>
      </c>
    </row>
    <row r="2826" spans="2:10" ht="15.95" customHeight="1" x14ac:dyDescent="0.25">
      <c r="C2826" s="116" t="s">
        <v>376</v>
      </c>
      <c r="D2826" s="117" t="s">
        <v>377</v>
      </c>
      <c r="E2826" s="118"/>
      <c r="F2826" s="118"/>
      <c r="G2826" s="165"/>
      <c r="H2826" s="144"/>
      <c r="I2826" s="126"/>
    </row>
    <row r="2827" spans="2:10" ht="15.95" customHeight="1" x14ac:dyDescent="0.25">
      <c r="C2827" s="122"/>
      <c r="D2827" s="117" t="s">
        <v>417</v>
      </c>
      <c r="E2827" s="118"/>
      <c r="F2827" s="123" t="s">
        <v>130</v>
      </c>
      <c r="G2827" s="124">
        <v>70</v>
      </c>
      <c r="H2827" s="144">
        <f>VLOOKUP(D2827,Bahan,6,FALSE)</f>
        <v>1040</v>
      </c>
      <c r="I2827" s="126">
        <f>G2827*H2827</f>
        <v>72800</v>
      </c>
    </row>
    <row r="2828" spans="2:10" ht="15.95" customHeight="1" x14ac:dyDescent="0.25">
      <c r="C2828" s="122"/>
      <c r="D2828" s="117" t="s">
        <v>847</v>
      </c>
      <c r="E2828" s="118"/>
      <c r="F2828" s="123" t="s">
        <v>159</v>
      </c>
      <c r="G2828" s="124">
        <v>1.4E-2</v>
      </c>
      <c r="H2828" s="144">
        <f>VLOOKUP(D2828,Bahan,6,FALSE)</f>
        <v>2460</v>
      </c>
      <c r="I2828" s="126">
        <f>G2828*H2828</f>
        <v>34.44</v>
      </c>
    </row>
    <row r="2829" spans="2:10" ht="15.95" customHeight="1" x14ac:dyDescent="0.25">
      <c r="C2829" s="122"/>
      <c r="D2829" s="117" t="s">
        <v>492</v>
      </c>
      <c r="E2829" s="118"/>
      <c r="F2829" s="123" t="s">
        <v>158</v>
      </c>
      <c r="G2829" s="124">
        <v>1.4E-2</v>
      </c>
      <c r="H2829" s="144">
        <f>VLOOKUP(D2829,Bahan,6,FALSE)</f>
        <v>448950</v>
      </c>
      <c r="I2829" s="126">
        <f>G2829*H2829</f>
        <v>6285.3</v>
      </c>
    </row>
    <row r="2830" spans="2:10" ht="15.95" customHeight="1" thickBot="1" x14ac:dyDescent="0.3">
      <c r="C2830" s="122"/>
      <c r="D2830" s="117" t="s">
        <v>493</v>
      </c>
      <c r="E2830" s="118"/>
      <c r="F2830" s="123" t="s">
        <v>158</v>
      </c>
      <c r="G2830" s="124">
        <v>2.8000000000000001E-2</v>
      </c>
      <c r="H2830" s="144">
        <f>VLOOKUP(D2830,Bahan,6,FALSE)</f>
        <v>253510</v>
      </c>
      <c r="I2830" s="126">
        <f>G2830*H2830</f>
        <v>7098.28</v>
      </c>
    </row>
    <row r="2831" spans="2:10" ht="15.95" customHeight="1" thickBot="1" x14ac:dyDescent="0.3">
      <c r="C2831" s="132"/>
      <c r="D2831" s="133"/>
      <c r="E2831" s="134"/>
      <c r="F2831" s="134"/>
      <c r="G2831" s="135" t="s">
        <v>386</v>
      </c>
      <c r="H2831" s="136"/>
      <c r="I2831" s="137">
        <f>SUM(I2827:I2830)</f>
        <v>86218.02</v>
      </c>
    </row>
    <row r="2832" spans="2:10" ht="15.95" customHeight="1" thickBot="1" x14ac:dyDescent="0.3">
      <c r="C2832" s="116" t="s">
        <v>387</v>
      </c>
      <c r="D2832" s="117" t="s">
        <v>388</v>
      </c>
      <c r="E2832" s="118"/>
      <c r="F2832" s="118"/>
      <c r="G2832" s="165"/>
      <c r="H2832" s="144">
        <f>IF(AND(D2832&lt;&gt;"",F2832&lt;&gt;""),IF(C2832="",IF(F2832="OH",VLOOKUP(D2832,[1]UPAH!$B$3:$G$32,7,0),VLOOKUP(D2832,[1]BAHAN!$A$2:$D$3,4,0)),0),0)</f>
        <v>0</v>
      </c>
      <c r="I2832" s="126">
        <f>G2832*H2832</f>
        <v>0</v>
      </c>
    </row>
    <row r="2833" spans="2:10" ht="15.95" customHeight="1" thickBot="1" x14ac:dyDescent="0.3">
      <c r="C2833" s="132"/>
      <c r="D2833" s="133"/>
      <c r="E2833" s="134"/>
      <c r="F2833" s="134"/>
      <c r="G2833" s="135" t="s">
        <v>389</v>
      </c>
      <c r="H2833" s="136"/>
      <c r="I2833" s="137">
        <f>I2832</f>
        <v>0</v>
      </c>
    </row>
    <row r="2834" spans="2:10" ht="15.95" customHeight="1" x14ac:dyDescent="0.25">
      <c r="C2834" s="158" t="s">
        <v>390</v>
      </c>
      <c r="D2834" s="159" t="s">
        <v>391</v>
      </c>
      <c r="E2834" s="160"/>
      <c r="F2834" s="160"/>
      <c r="G2834" s="161"/>
      <c r="H2834" s="162">
        <f>IF(AND(D2834&lt;&gt;"",F2834&lt;&gt;""),IF(C2834="",IF(F2834="OH",VLOOKUP(D2834,[1]UPAH!$B$3:$G$32,7,0),VLOOKUP(D2834,[1]BAHAN!$A$2:$D$3,4,0)),0),0)</f>
        <v>0</v>
      </c>
      <c r="I2834" s="126">
        <f>SUM(I2820:I2833)/2</f>
        <v>142918.01999999999</v>
      </c>
    </row>
    <row r="2835" spans="2:10" ht="15.95" customHeight="1" thickBot="1" x14ac:dyDescent="0.3">
      <c r="C2835" s="147" t="s">
        <v>392</v>
      </c>
      <c r="D2835" s="148" t="s">
        <v>393</v>
      </c>
      <c r="E2835" s="149"/>
      <c r="F2835" s="149"/>
      <c r="G2835" s="164">
        <v>0.1</v>
      </c>
      <c r="H2835" s="151"/>
      <c r="I2835" s="146">
        <f>G2835*I2834</f>
        <v>14291.802</v>
      </c>
    </row>
    <row r="2836" spans="2:10" ht="15.95" customHeight="1" thickBot="1" x14ac:dyDescent="0.3">
      <c r="C2836" s="111" t="s">
        <v>394</v>
      </c>
      <c r="D2836" s="112" t="s">
        <v>395</v>
      </c>
      <c r="E2836" s="134"/>
      <c r="F2836" s="134"/>
      <c r="G2836" s="156"/>
      <c r="H2836" s="136">
        <f>IF(AND(D2836&lt;&gt;"",F2836&lt;&gt;""),IF(C2836="",IF(F2836="OH",VLOOKUP(D2836,[1]UPAH!$B$3:$G$32,7,0),VLOOKUP(D2836,[1]BAHAN!$A$2:$D$3,4,0)),0),0)</f>
        <v>0</v>
      </c>
      <c r="I2836" s="137">
        <f>ROUNDDOWN(I2834+I2835,0)</f>
        <v>157209</v>
      </c>
    </row>
    <row r="2837" spans="2:10" ht="15.95" customHeight="1" x14ac:dyDescent="0.25">
      <c r="C2837" s="109"/>
      <c r="D2837" s="109"/>
      <c r="G2837" s="157"/>
    </row>
    <row r="2838" spans="2:10" ht="15.95" customHeight="1" thickBot="1" x14ac:dyDescent="0.3">
      <c r="B2838" s="109" t="s">
        <v>850</v>
      </c>
      <c r="C2838" s="104" t="s">
        <v>851</v>
      </c>
      <c r="G2838" s="157"/>
      <c r="J2838" s="110">
        <f>I2856</f>
        <v>515979</v>
      </c>
    </row>
    <row r="2839" spans="2:10" ht="15.95" customHeight="1" thickBot="1" x14ac:dyDescent="0.3">
      <c r="C2839" s="111" t="s">
        <v>328</v>
      </c>
      <c r="D2839" s="112" t="s">
        <v>359</v>
      </c>
      <c r="E2839" s="113" t="s">
        <v>360</v>
      </c>
      <c r="F2839" s="113" t="s">
        <v>330</v>
      </c>
      <c r="G2839" s="114" t="s">
        <v>361</v>
      </c>
      <c r="H2839" s="112" t="s">
        <v>362</v>
      </c>
      <c r="I2839" s="115" t="s">
        <v>363</v>
      </c>
    </row>
    <row r="2840" spans="2:10" ht="15.95" customHeight="1" x14ac:dyDescent="0.25">
      <c r="C2840" s="116" t="s">
        <v>364</v>
      </c>
      <c r="D2840" s="117" t="s">
        <v>365</v>
      </c>
      <c r="E2840" s="118"/>
      <c r="F2840" s="118"/>
      <c r="G2840" s="165"/>
      <c r="H2840" s="125"/>
      <c r="I2840" s="126"/>
    </row>
    <row r="2841" spans="2:10" ht="15.95" customHeight="1" x14ac:dyDescent="0.25">
      <c r="C2841" s="122"/>
      <c r="D2841" s="117" t="s">
        <v>366</v>
      </c>
      <c r="E2841" s="123" t="s">
        <v>367</v>
      </c>
      <c r="F2841" s="123" t="s">
        <v>368</v>
      </c>
      <c r="G2841" s="124">
        <v>0.35</v>
      </c>
      <c r="H2841" s="125">
        <f>VLOOKUP(D2841,Upah,8,FALSE)</f>
        <v>125000</v>
      </c>
      <c r="I2841" s="126">
        <f>G2841*H2841</f>
        <v>43750</v>
      </c>
    </row>
    <row r="2842" spans="2:10" ht="15.95" customHeight="1" x14ac:dyDescent="0.25">
      <c r="C2842" s="122"/>
      <c r="D2842" s="117" t="s">
        <v>505</v>
      </c>
      <c r="E2842" s="123" t="s">
        <v>414</v>
      </c>
      <c r="F2842" s="123" t="s">
        <v>368</v>
      </c>
      <c r="G2842" s="124">
        <v>0.15</v>
      </c>
      <c r="H2842" s="125">
        <f>VLOOKUP(D2842,Upah,8,FALSE)</f>
        <v>150000</v>
      </c>
      <c r="I2842" s="126">
        <f>G2842*H2842</f>
        <v>22500</v>
      </c>
    </row>
    <row r="2843" spans="2:10" ht="15.95" customHeight="1" x14ac:dyDescent="0.25">
      <c r="C2843" s="122"/>
      <c r="D2843" s="117" t="s">
        <v>371</v>
      </c>
      <c r="E2843" s="123" t="s">
        <v>372</v>
      </c>
      <c r="F2843" s="123" t="s">
        <v>368</v>
      </c>
      <c r="G2843" s="124">
        <v>1.4999999999999999E-2</v>
      </c>
      <c r="H2843" s="125">
        <f>VLOOKUP(D2843,Upah,8,FALSE)</f>
        <v>165000</v>
      </c>
      <c r="I2843" s="126">
        <f>G2843*H2843</f>
        <v>2475</v>
      </c>
    </row>
    <row r="2844" spans="2:10" ht="15.95" customHeight="1" thickBot="1" x14ac:dyDescent="0.3">
      <c r="C2844" s="122"/>
      <c r="D2844" s="117" t="s">
        <v>373</v>
      </c>
      <c r="E2844" s="123" t="s">
        <v>374</v>
      </c>
      <c r="F2844" s="123" t="s">
        <v>368</v>
      </c>
      <c r="G2844" s="124">
        <v>1.7999999999999999E-2</v>
      </c>
      <c r="H2844" s="125">
        <f>VLOOKUP(D2844,Upah,8,FALSE)</f>
        <v>170000</v>
      </c>
      <c r="I2844" s="126">
        <f>G2844*H2844</f>
        <v>3059.9999999999995</v>
      </c>
    </row>
    <row r="2845" spans="2:10" ht="15.95" customHeight="1" thickBot="1" x14ac:dyDescent="0.3">
      <c r="C2845" s="132"/>
      <c r="D2845" s="133"/>
      <c r="E2845" s="134"/>
      <c r="F2845" s="134"/>
      <c r="G2845" s="135" t="s">
        <v>375</v>
      </c>
      <c r="H2845" s="136"/>
      <c r="I2845" s="137">
        <f>SUM(I2841:I2844)</f>
        <v>71785</v>
      </c>
    </row>
    <row r="2846" spans="2:10" ht="15.95" customHeight="1" x14ac:dyDescent="0.25">
      <c r="C2846" s="116" t="s">
        <v>376</v>
      </c>
      <c r="D2846" s="117" t="s">
        <v>377</v>
      </c>
      <c r="E2846" s="118"/>
      <c r="F2846" s="118"/>
      <c r="G2846" s="165"/>
      <c r="H2846" s="144"/>
      <c r="I2846" s="126"/>
    </row>
    <row r="2847" spans="2:10" ht="15.95" customHeight="1" x14ac:dyDescent="0.25">
      <c r="C2847" s="122"/>
      <c r="D2847" s="117" t="s">
        <v>852</v>
      </c>
      <c r="E2847" s="118"/>
      <c r="F2847" s="123" t="s">
        <v>130</v>
      </c>
      <c r="G2847" s="124">
        <v>12.5</v>
      </c>
      <c r="H2847" s="144">
        <f>VLOOKUP(D2847,Bahan,6,FALSE)</f>
        <v>12100</v>
      </c>
      <c r="I2847" s="126">
        <f>G2847*H2847</f>
        <v>151250</v>
      </c>
    </row>
    <row r="2848" spans="2:10" ht="15.95" customHeight="1" x14ac:dyDescent="0.25">
      <c r="C2848" s="122"/>
      <c r="D2848" s="117" t="s">
        <v>380</v>
      </c>
      <c r="E2848" s="118"/>
      <c r="F2848" s="123" t="s">
        <v>159</v>
      </c>
      <c r="G2848" s="124">
        <v>30.32</v>
      </c>
      <c r="H2848" s="144">
        <f>VLOOKUP(D2848,Bahan,6,FALSE)</f>
        <v>1880</v>
      </c>
      <c r="I2848" s="126">
        <f>G2848*H2848</f>
        <v>57001.599999999999</v>
      </c>
    </row>
    <row r="2849" spans="2:10" ht="15.95" customHeight="1" x14ac:dyDescent="0.25">
      <c r="C2849" s="122"/>
      <c r="D2849" s="117" t="s">
        <v>493</v>
      </c>
      <c r="E2849" s="118"/>
      <c r="F2849" s="123" t="s">
        <v>158</v>
      </c>
      <c r="G2849" s="124">
        <v>0.72799999999999998</v>
      </c>
      <c r="H2849" s="144">
        <f>VLOOKUP(D2849,Bahan,6,FALSE)</f>
        <v>253510</v>
      </c>
      <c r="I2849" s="126">
        <f>G2849*H2849</f>
        <v>184555.28</v>
      </c>
    </row>
    <row r="2850" spans="2:10" ht="15.95" customHeight="1" thickBot="1" x14ac:dyDescent="0.3">
      <c r="C2850" s="122"/>
      <c r="D2850" s="117" t="s">
        <v>853</v>
      </c>
      <c r="E2850" s="118"/>
      <c r="F2850" s="123" t="s">
        <v>159</v>
      </c>
      <c r="G2850" s="124">
        <v>0.28000000000000003</v>
      </c>
      <c r="H2850" s="144">
        <f>VLOOKUP(D2850,Bahan,6,FALSE)</f>
        <v>16000</v>
      </c>
      <c r="I2850" s="126">
        <f>G2850*H2850</f>
        <v>4480</v>
      </c>
    </row>
    <row r="2851" spans="2:10" ht="15.95" customHeight="1" thickBot="1" x14ac:dyDescent="0.3">
      <c r="C2851" s="132"/>
      <c r="D2851" s="133"/>
      <c r="E2851" s="134"/>
      <c r="F2851" s="134"/>
      <c r="G2851" s="135" t="s">
        <v>386</v>
      </c>
      <c r="H2851" s="136"/>
      <c r="I2851" s="137">
        <f>SUM(I2847:I2850)</f>
        <v>397286.88</v>
      </c>
    </row>
    <row r="2852" spans="2:10" ht="15.95" customHeight="1" thickBot="1" x14ac:dyDescent="0.3">
      <c r="C2852" s="116" t="s">
        <v>387</v>
      </c>
      <c r="D2852" s="117" t="s">
        <v>388</v>
      </c>
      <c r="E2852" s="118"/>
      <c r="F2852" s="118"/>
      <c r="G2852" s="165"/>
      <c r="H2852" s="144">
        <f>IF(AND(D2852&lt;&gt;"",F2852&lt;&gt;""),IF(C2852="",IF(F2852="OH",VLOOKUP(D2852,[1]UPAH!$B$3:$G$32,7,0),VLOOKUP(D2852,[1]BAHAN!$A$2:$D$3,4,0)),0),0)</f>
        <v>0</v>
      </c>
      <c r="I2852" s="126">
        <f>G2852*H2852</f>
        <v>0</v>
      </c>
    </row>
    <row r="2853" spans="2:10" ht="15.95" customHeight="1" thickBot="1" x14ac:dyDescent="0.3">
      <c r="C2853" s="132"/>
      <c r="D2853" s="133"/>
      <c r="E2853" s="134"/>
      <c r="F2853" s="134"/>
      <c r="G2853" s="135" t="s">
        <v>389</v>
      </c>
      <c r="H2853" s="136"/>
      <c r="I2853" s="137">
        <f>I2852</f>
        <v>0</v>
      </c>
    </row>
    <row r="2854" spans="2:10" ht="15.95" customHeight="1" x14ac:dyDescent="0.25">
      <c r="C2854" s="158" t="s">
        <v>390</v>
      </c>
      <c r="D2854" s="159" t="s">
        <v>391</v>
      </c>
      <c r="E2854" s="160"/>
      <c r="F2854" s="160"/>
      <c r="G2854" s="161"/>
      <c r="H2854" s="162">
        <f>IF(AND(D2854&lt;&gt;"",F2854&lt;&gt;""),IF(C2854="",IF(F2854="OH",VLOOKUP(D2854,[1]UPAH!$B$3:$G$32,7,0),VLOOKUP(D2854,[1]BAHAN!$A$2:$D$3,4,0)),0),0)</f>
        <v>0</v>
      </c>
      <c r="I2854" s="126">
        <f>SUM(I2841:I2853)/2</f>
        <v>469071.88</v>
      </c>
    </row>
    <row r="2855" spans="2:10" ht="15.95" customHeight="1" thickBot="1" x14ac:dyDescent="0.3">
      <c r="C2855" s="147" t="s">
        <v>392</v>
      </c>
      <c r="D2855" s="148" t="s">
        <v>393</v>
      </c>
      <c r="E2855" s="149"/>
      <c r="F2855" s="149"/>
      <c r="G2855" s="164">
        <v>0.1</v>
      </c>
      <c r="H2855" s="151"/>
      <c r="I2855" s="146">
        <f>G2855*I2854</f>
        <v>46907.188000000002</v>
      </c>
    </row>
    <row r="2856" spans="2:10" ht="15.95" customHeight="1" thickBot="1" x14ac:dyDescent="0.3">
      <c r="C2856" s="111" t="s">
        <v>394</v>
      </c>
      <c r="D2856" s="112" t="s">
        <v>395</v>
      </c>
      <c r="E2856" s="134"/>
      <c r="F2856" s="134"/>
      <c r="G2856" s="156"/>
      <c r="H2856" s="136">
        <f>IF(AND(D2856&lt;&gt;"",F2856&lt;&gt;""),IF(C2856="",IF(F2856="OH",VLOOKUP(D2856,[1]UPAH!$B$3:$G$32,7,0),VLOOKUP(D2856,[1]BAHAN!$A$2:$D$3,4,0)),0),0)</f>
        <v>0</v>
      </c>
      <c r="I2856" s="137">
        <f>ROUNDDOWN(I2854+I2855,0)</f>
        <v>515979</v>
      </c>
    </row>
    <row r="2857" spans="2:10" ht="15.95" customHeight="1" x14ac:dyDescent="0.25">
      <c r="C2857" s="109"/>
      <c r="D2857" s="109"/>
      <c r="G2857" s="157"/>
    </row>
    <row r="2858" spans="2:10" ht="15.95" customHeight="1" thickBot="1" x14ac:dyDescent="0.3">
      <c r="B2858" s="109" t="s">
        <v>854</v>
      </c>
      <c r="C2858" s="104" t="s">
        <v>855</v>
      </c>
      <c r="G2858" s="157"/>
      <c r="J2858" s="110">
        <f>I2876</f>
        <v>515716</v>
      </c>
    </row>
    <row r="2859" spans="2:10" ht="15.95" customHeight="1" thickBot="1" x14ac:dyDescent="0.3">
      <c r="C2859" s="111" t="s">
        <v>328</v>
      </c>
      <c r="D2859" s="112" t="s">
        <v>359</v>
      </c>
      <c r="E2859" s="113" t="s">
        <v>360</v>
      </c>
      <c r="F2859" s="113" t="s">
        <v>330</v>
      </c>
      <c r="G2859" s="114" t="s">
        <v>361</v>
      </c>
      <c r="H2859" s="112" t="s">
        <v>362</v>
      </c>
      <c r="I2859" s="115" t="s">
        <v>363</v>
      </c>
    </row>
    <row r="2860" spans="2:10" ht="15.95" customHeight="1" x14ac:dyDescent="0.25">
      <c r="C2860" s="116" t="s">
        <v>364</v>
      </c>
      <c r="D2860" s="117" t="s">
        <v>365</v>
      </c>
      <c r="E2860" s="118"/>
      <c r="F2860" s="118"/>
      <c r="G2860" s="165"/>
      <c r="H2860" s="144"/>
      <c r="I2860" s="126"/>
    </row>
    <row r="2861" spans="2:10" ht="15.95" customHeight="1" x14ac:dyDescent="0.25">
      <c r="C2861" s="122"/>
      <c r="D2861" s="117" t="s">
        <v>366</v>
      </c>
      <c r="E2861" s="123" t="s">
        <v>367</v>
      </c>
      <c r="F2861" s="123" t="s">
        <v>368</v>
      </c>
      <c r="G2861" s="124">
        <v>0.35</v>
      </c>
      <c r="H2861" s="125">
        <f>VLOOKUP(D2861,Upah,8,FALSE)</f>
        <v>125000</v>
      </c>
      <c r="I2861" s="126">
        <f>G2861*H2861</f>
        <v>43750</v>
      </c>
    </row>
    <row r="2862" spans="2:10" ht="15.95" customHeight="1" x14ac:dyDescent="0.25">
      <c r="C2862" s="122"/>
      <c r="D2862" s="117" t="s">
        <v>505</v>
      </c>
      <c r="E2862" s="123" t="s">
        <v>414</v>
      </c>
      <c r="F2862" s="123" t="s">
        <v>368</v>
      </c>
      <c r="G2862" s="124">
        <v>0.15</v>
      </c>
      <c r="H2862" s="125">
        <f>VLOOKUP(D2862,Upah,8,FALSE)</f>
        <v>150000</v>
      </c>
      <c r="I2862" s="126">
        <f>G2862*H2862</f>
        <v>22500</v>
      </c>
    </row>
    <row r="2863" spans="2:10" ht="15.95" customHeight="1" x14ac:dyDescent="0.25">
      <c r="C2863" s="122"/>
      <c r="D2863" s="117" t="s">
        <v>371</v>
      </c>
      <c r="E2863" s="123" t="s">
        <v>372</v>
      </c>
      <c r="F2863" s="123" t="s">
        <v>368</v>
      </c>
      <c r="G2863" s="124">
        <v>1.4999999999999999E-2</v>
      </c>
      <c r="H2863" s="125">
        <f>VLOOKUP(D2863,Upah,8,FALSE)</f>
        <v>165000</v>
      </c>
      <c r="I2863" s="126">
        <f>G2863*H2863</f>
        <v>2475</v>
      </c>
    </row>
    <row r="2864" spans="2:10" ht="15.95" customHeight="1" thickBot="1" x14ac:dyDescent="0.3">
      <c r="C2864" s="122"/>
      <c r="D2864" s="117" t="s">
        <v>373</v>
      </c>
      <c r="E2864" s="123" t="s">
        <v>374</v>
      </c>
      <c r="F2864" s="123" t="s">
        <v>368</v>
      </c>
      <c r="G2864" s="124">
        <v>1.7999999999999999E-2</v>
      </c>
      <c r="H2864" s="125">
        <f>VLOOKUP(D2864,Upah,8,FALSE)</f>
        <v>170000</v>
      </c>
      <c r="I2864" s="126">
        <f>G2864*H2864</f>
        <v>3059.9999999999995</v>
      </c>
    </row>
    <row r="2865" spans="2:10" ht="15.95" customHeight="1" thickBot="1" x14ac:dyDescent="0.3">
      <c r="C2865" s="132"/>
      <c r="D2865" s="133"/>
      <c r="E2865" s="134"/>
      <c r="F2865" s="134"/>
      <c r="G2865" s="135" t="s">
        <v>375</v>
      </c>
      <c r="H2865" s="136"/>
      <c r="I2865" s="137">
        <f>SUM(I2861:I2864)</f>
        <v>71785</v>
      </c>
    </row>
    <row r="2866" spans="2:10" ht="15.95" customHeight="1" x14ac:dyDescent="0.25">
      <c r="C2866" s="116" t="s">
        <v>376</v>
      </c>
      <c r="D2866" s="117" t="s">
        <v>377</v>
      </c>
      <c r="E2866" s="118"/>
      <c r="F2866" s="118"/>
      <c r="G2866" s="165"/>
      <c r="H2866" s="144"/>
      <c r="I2866" s="126"/>
    </row>
    <row r="2867" spans="2:10" ht="15.95" customHeight="1" x14ac:dyDescent="0.25">
      <c r="C2867" s="122"/>
      <c r="D2867" s="117" t="s">
        <v>852</v>
      </c>
      <c r="E2867" s="118"/>
      <c r="F2867" s="123" t="s">
        <v>130</v>
      </c>
      <c r="G2867" s="124">
        <v>12.5</v>
      </c>
      <c r="H2867" s="144">
        <f>VLOOKUP(D2867,Bahan,6,FALSE)</f>
        <v>12100</v>
      </c>
      <c r="I2867" s="126">
        <f>G2867*H2867</f>
        <v>151250</v>
      </c>
    </row>
    <row r="2868" spans="2:10" ht="15.95" customHeight="1" x14ac:dyDescent="0.25">
      <c r="C2868" s="122"/>
      <c r="D2868" s="117" t="s">
        <v>380</v>
      </c>
      <c r="E2868" s="118"/>
      <c r="F2868" s="123" t="s">
        <v>159</v>
      </c>
      <c r="G2868" s="124">
        <v>24.26</v>
      </c>
      <c r="H2868" s="144">
        <f>VLOOKUP(D2868,Bahan,6,FALSE)</f>
        <v>1880</v>
      </c>
      <c r="I2868" s="126">
        <f>G2868*H2868</f>
        <v>45608.800000000003</v>
      </c>
    </row>
    <row r="2869" spans="2:10" ht="15.95" customHeight="1" x14ac:dyDescent="0.25">
      <c r="C2869" s="122"/>
      <c r="D2869" s="117" t="s">
        <v>493</v>
      </c>
      <c r="E2869" s="118"/>
      <c r="F2869" s="123" t="s">
        <v>158</v>
      </c>
      <c r="G2869" s="124">
        <v>0.77200000000000002</v>
      </c>
      <c r="H2869" s="144">
        <f>VLOOKUP(D2869,Bahan,6,FALSE)</f>
        <v>253510</v>
      </c>
      <c r="I2869" s="126">
        <f>G2869*H2869</f>
        <v>195709.72</v>
      </c>
    </row>
    <row r="2870" spans="2:10" ht="15.95" customHeight="1" thickBot="1" x14ac:dyDescent="0.3">
      <c r="C2870" s="122"/>
      <c r="D2870" s="117" t="s">
        <v>853</v>
      </c>
      <c r="E2870" s="118"/>
      <c r="F2870" s="123" t="s">
        <v>159</v>
      </c>
      <c r="G2870" s="124">
        <v>0.28000000000000003</v>
      </c>
      <c r="H2870" s="144">
        <f>VLOOKUP(D2870,Bahan,6,FALSE)</f>
        <v>16000</v>
      </c>
      <c r="I2870" s="126">
        <f>G2870*H2870</f>
        <v>4480</v>
      </c>
    </row>
    <row r="2871" spans="2:10" ht="15.95" customHeight="1" thickBot="1" x14ac:dyDescent="0.3">
      <c r="C2871" s="132"/>
      <c r="D2871" s="133"/>
      <c r="E2871" s="134"/>
      <c r="F2871" s="134"/>
      <c r="G2871" s="135" t="s">
        <v>386</v>
      </c>
      <c r="H2871" s="136"/>
      <c r="I2871" s="137">
        <f>SUM(I2867:I2870)</f>
        <v>397048.52</v>
      </c>
    </row>
    <row r="2872" spans="2:10" ht="15.95" customHeight="1" thickBot="1" x14ac:dyDescent="0.3">
      <c r="C2872" s="116" t="s">
        <v>387</v>
      </c>
      <c r="D2872" s="117" t="s">
        <v>388</v>
      </c>
      <c r="E2872" s="118"/>
      <c r="F2872" s="118"/>
      <c r="G2872" s="165"/>
      <c r="H2872" s="144">
        <f>IF(AND(D2872&lt;&gt;"",F2872&lt;&gt;""),IF(C2872="",IF(F2872="OH",VLOOKUP(D2872,[1]UPAH!$B$3:$G$32,7,0),VLOOKUP(D2872,[1]BAHAN!$A$2:$D$3,4,0)),0),0)</f>
        <v>0</v>
      </c>
      <c r="I2872" s="126">
        <f>G2872*H2872</f>
        <v>0</v>
      </c>
    </row>
    <row r="2873" spans="2:10" ht="15.95" customHeight="1" thickBot="1" x14ac:dyDescent="0.3">
      <c r="C2873" s="132"/>
      <c r="D2873" s="133"/>
      <c r="E2873" s="134"/>
      <c r="F2873" s="134"/>
      <c r="G2873" s="135" t="s">
        <v>389</v>
      </c>
      <c r="H2873" s="136"/>
      <c r="I2873" s="137">
        <f>I2872</f>
        <v>0</v>
      </c>
    </row>
    <row r="2874" spans="2:10" ht="15.95" customHeight="1" x14ac:dyDescent="0.25">
      <c r="C2874" s="158" t="s">
        <v>390</v>
      </c>
      <c r="D2874" s="159" t="s">
        <v>391</v>
      </c>
      <c r="E2874" s="160"/>
      <c r="F2874" s="160"/>
      <c r="G2874" s="161"/>
      <c r="H2874" s="162">
        <f>IF(AND(D2874&lt;&gt;"",F2874&lt;&gt;""),IF(C2874="",IF(F2874="OH",VLOOKUP(D2874,[1]UPAH!$B$3:$G$32,7,0),VLOOKUP(D2874,[1]BAHAN!$A$2:$D$3,4,0)),0),0)</f>
        <v>0</v>
      </c>
      <c r="I2874" s="126">
        <f>SUM(I2861:I2873)/2</f>
        <v>468833.52</v>
      </c>
    </row>
    <row r="2875" spans="2:10" ht="15.95" customHeight="1" thickBot="1" x14ac:dyDescent="0.3">
      <c r="C2875" s="147" t="s">
        <v>392</v>
      </c>
      <c r="D2875" s="148" t="s">
        <v>393</v>
      </c>
      <c r="E2875" s="149"/>
      <c r="F2875" s="149"/>
      <c r="G2875" s="164">
        <v>0.1</v>
      </c>
      <c r="H2875" s="151"/>
      <c r="I2875" s="146">
        <f>G2875*I2874</f>
        <v>46883.352000000006</v>
      </c>
    </row>
    <row r="2876" spans="2:10" ht="15.95" customHeight="1" thickBot="1" x14ac:dyDescent="0.3">
      <c r="C2876" s="111" t="s">
        <v>394</v>
      </c>
      <c r="D2876" s="112" t="s">
        <v>395</v>
      </c>
      <c r="E2876" s="134"/>
      <c r="F2876" s="134"/>
      <c r="G2876" s="156"/>
      <c r="H2876" s="136">
        <f>IF(AND(D2876&lt;&gt;"",F2876&lt;&gt;""),IF(C2876="",IF(F2876="OH",VLOOKUP(D2876,[1]UPAH!$B$3:$G$32,7,0),VLOOKUP(D2876,[1]BAHAN!$A$2:$D$3,4,0)),0),0)</f>
        <v>0</v>
      </c>
      <c r="I2876" s="137">
        <f>ROUNDDOWN(I2874+I2875,0)</f>
        <v>515716</v>
      </c>
    </row>
    <row r="2877" spans="2:10" ht="15.95" customHeight="1" x14ac:dyDescent="0.25">
      <c r="C2877" s="109"/>
      <c r="D2877" s="109"/>
      <c r="G2877" s="157"/>
    </row>
    <row r="2878" spans="2:10" ht="15.95" customHeight="1" thickBot="1" x14ac:dyDescent="0.3">
      <c r="B2878" s="109" t="s">
        <v>856</v>
      </c>
      <c r="C2878" s="104" t="s">
        <v>857</v>
      </c>
      <c r="G2878" s="157"/>
      <c r="J2878" s="110">
        <f>I2896</f>
        <v>387872</v>
      </c>
    </row>
    <row r="2879" spans="2:10" ht="15.95" customHeight="1" thickBot="1" x14ac:dyDescent="0.3">
      <c r="C2879" s="111" t="s">
        <v>328</v>
      </c>
      <c r="D2879" s="112" t="s">
        <v>359</v>
      </c>
      <c r="E2879" s="113" t="s">
        <v>360</v>
      </c>
      <c r="F2879" s="113" t="s">
        <v>330</v>
      </c>
      <c r="G2879" s="114" t="s">
        <v>361</v>
      </c>
      <c r="H2879" s="112" t="s">
        <v>362</v>
      </c>
      <c r="I2879" s="115" t="s">
        <v>363</v>
      </c>
    </row>
    <row r="2880" spans="2:10" ht="15.95" customHeight="1" x14ac:dyDescent="0.25">
      <c r="C2880" s="116" t="s">
        <v>364</v>
      </c>
      <c r="D2880" s="117" t="s">
        <v>365</v>
      </c>
      <c r="E2880" s="118"/>
      <c r="F2880" s="118"/>
      <c r="G2880" s="165"/>
      <c r="H2880" s="144"/>
      <c r="I2880" s="126"/>
    </row>
    <row r="2881" spans="3:9" ht="15.95" customHeight="1" x14ac:dyDescent="0.25">
      <c r="C2881" s="122"/>
      <c r="D2881" s="117" t="s">
        <v>366</v>
      </c>
      <c r="E2881" s="123" t="s">
        <v>367</v>
      </c>
      <c r="F2881" s="123" t="s">
        <v>368</v>
      </c>
      <c r="G2881" s="124">
        <v>0.32</v>
      </c>
      <c r="H2881" s="125">
        <f>VLOOKUP(D2881,Upah,8,FALSE)</f>
        <v>125000</v>
      </c>
      <c r="I2881" s="126">
        <f>G2881*H2881</f>
        <v>40000</v>
      </c>
    </row>
    <row r="2882" spans="3:9" ht="15.95" customHeight="1" x14ac:dyDescent="0.25">
      <c r="C2882" s="122"/>
      <c r="D2882" s="117" t="s">
        <v>505</v>
      </c>
      <c r="E2882" s="123" t="s">
        <v>414</v>
      </c>
      <c r="F2882" s="123" t="s">
        <v>368</v>
      </c>
      <c r="G2882" s="124">
        <v>0.12</v>
      </c>
      <c r="H2882" s="125">
        <f>VLOOKUP(D2882,Upah,8,FALSE)</f>
        <v>150000</v>
      </c>
      <c r="I2882" s="126">
        <f>G2882*H2882</f>
        <v>18000</v>
      </c>
    </row>
    <row r="2883" spans="3:9" ht="15.95" customHeight="1" x14ac:dyDescent="0.25">
      <c r="C2883" s="122"/>
      <c r="D2883" s="117" t="s">
        <v>371</v>
      </c>
      <c r="E2883" s="123" t="s">
        <v>372</v>
      </c>
      <c r="F2883" s="123" t="s">
        <v>368</v>
      </c>
      <c r="G2883" s="124">
        <v>1.2E-2</v>
      </c>
      <c r="H2883" s="125">
        <f>VLOOKUP(D2883,Upah,8,FALSE)</f>
        <v>165000</v>
      </c>
      <c r="I2883" s="126">
        <f>G2883*H2883</f>
        <v>1980</v>
      </c>
    </row>
    <row r="2884" spans="3:9" ht="15.95" customHeight="1" thickBot="1" x14ac:dyDescent="0.3">
      <c r="C2884" s="122"/>
      <c r="D2884" s="117" t="s">
        <v>373</v>
      </c>
      <c r="E2884" s="123" t="s">
        <v>374</v>
      </c>
      <c r="F2884" s="123" t="s">
        <v>368</v>
      </c>
      <c r="G2884" s="124">
        <v>1.6E-2</v>
      </c>
      <c r="H2884" s="125">
        <f>VLOOKUP(D2884,Upah,8,FALSE)</f>
        <v>170000</v>
      </c>
      <c r="I2884" s="126">
        <f>G2884*H2884</f>
        <v>2720</v>
      </c>
    </row>
    <row r="2885" spans="3:9" ht="15.95" customHeight="1" thickBot="1" x14ac:dyDescent="0.3">
      <c r="C2885" s="132"/>
      <c r="D2885" s="133"/>
      <c r="E2885" s="134"/>
      <c r="F2885" s="134"/>
      <c r="G2885" s="135" t="s">
        <v>375</v>
      </c>
      <c r="H2885" s="136"/>
      <c r="I2885" s="137">
        <f>SUM(I2881:I2884)</f>
        <v>62700</v>
      </c>
    </row>
    <row r="2886" spans="3:9" ht="15.95" customHeight="1" x14ac:dyDescent="0.25">
      <c r="C2886" s="116" t="s">
        <v>376</v>
      </c>
      <c r="D2886" s="117" t="s">
        <v>377</v>
      </c>
      <c r="E2886" s="118"/>
      <c r="F2886" s="118"/>
      <c r="G2886" s="165"/>
      <c r="H2886" s="144"/>
      <c r="I2886" s="126"/>
    </row>
    <row r="2887" spans="3:9" ht="15.95" customHeight="1" x14ac:dyDescent="0.25">
      <c r="C2887" s="122"/>
      <c r="D2887" s="117" t="s">
        <v>858</v>
      </c>
      <c r="E2887" s="118"/>
      <c r="F2887" s="123" t="s">
        <v>130</v>
      </c>
      <c r="G2887" s="124">
        <v>12.5</v>
      </c>
      <c r="H2887" s="144">
        <f>VLOOKUP(D2887,Bahan,6,FALSE)</f>
        <v>8260</v>
      </c>
      <c r="I2887" s="126">
        <f>G2887*H2887</f>
        <v>103250</v>
      </c>
    </row>
    <row r="2888" spans="3:9" ht="15.95" customHeight="1" x14ac:dyDescent="0.25">
      <c r="C2888" s="122"/>
      <c r="D2888" s="117" t="s">
        <v>380</v>
      </c>
      <c r="E2888" s="118"/>
      <c r="F2888" s="123" t="s">
        <v>159</v>
      </c>
      <c r="G2888" s="124">
        <v>22.74</v>
      </c>
      <c r="H2888" s="144">
        <f>VLOOKUP(D2888,Bahan,6,FALSE)</f>
        <v>1880</v>
      </c>
      <c r="I2888" s="126">
        <f>G2888*H2888</f>
        <v>42751.199999999997</v>
      </c>
    </row>
    <row r="2889" spans="3:9" ht="15.95" customHeight="1" x14ac:dyDescent="0.25">
      <c r="C2889" s="122"/>
      <c r="D2889" s="117" t="s">
        <v>493</v>
      </c>
      <c r="E2889" s="118"/>
      <c r="F2889" s="123" t="s">
        <v>158</v>
      </c>
      <c r="G2889" s="124">
        <v>0.55000000000000004</v>
      </c>
      <c r="H2889" s="144">
        <f>VLOOKUP(D2889,Bahan,6,FALSE)</f>
        <v>253510</v>
      </c>
      <c r="I2889" s="126">
        <f>G2889*H2889</f>
        <v>139430.5</v>
      </c>
    </row>
    <row r="2890" spans="3:9" ht="15.95" customHeight="1" thickBot="1" x14ac:dyDescent="0.3">
      <c r="C2890" s="122"/>
      <c r="D2890" s="117" t="s">
        <v>853</v>
      </c>
      <c r="E2890" s="118"/>
      <c r="F2890" s="123" t="s">
        <v>159</v>
      </c>
      <c r="G2890" s="124">
        <v>0.28000000000000003</v>
      </c>
      <c r="H2890" s="144">
        <f>VLOOKUP(D2890,Bahan,6,FALSE)</f>
        <v>16000</v>
      </c>
      <c r="I2890" s="126">
        <f>G2890*H2890</f>
        <v>4480</v>
      </c>
    </row>
    <row r="2891" spans="3:9" ht="15.95" customHeight="1" thickBot="1" x14ac:dyDescent="0.3">
      <c r="C2891" s="132"/>
      <c r="D2891" s="133"/>
      <c r="E2891" s="134"/>
      <c r="F2891" s="134"/>
      <c r="G2891" s="135" t="s">
        <v>386</v>
      </c>
      <c r="H2891" s="136"/>
      <c r="I2891" s="137">
        <f>SUM(I2887:I2890)</f>
        <v>289911.7</v>
      </c>
    </row>
    <row r="2892" spans="3:9" ht="15.95" customHeight="1" thickBot="1" x14ac:dyDescent="0.3">
      <c r="C2892" s="116" t="s">
        <v>387</v>
      </c>
      <c r="D2892" s="117" t="s">
        <v>388</v>
      </c>
      <c r="E2892" s="118"/>
      <c r="F2892" s="118"/>
      <c r="G2892" s="165"/>
      <c r="H2892" s="144">
        <f>IF(AND(D2892&lt;&gt;"",F2892&lt;&gt;""),IF(C2892="",IF(F2892="OH",VLOOKUP(D2892,[1]UPAH!$B$3:$G$32,7,0),VLOOKUP(D2892,[1]BAHAN!$A$2:$D$3,4,0)),0),0)</f>
        <v>0</v>
      </c>
      <c r="I2892" s="126">
        <f>G2892*H2892</f>
        <v>0</v>
      </c>
    </row>
    <row r="2893" spans="3:9" ht="15.95" customHeight="1" thickBot="1" x14ac:dyDescent="0.3">
      <c r="C2893" s="132"/>
      <c r="D2893" s="133"/>
      <c r="E2893" s="134"/>
      <c r="F2893" s="134"/>
      <c r="G2893" s="135" t="s">
        <v>389</v>
      </c>
      <c r="H2893" s="136"/>
      <c r="I2893" s="137">
        <f>I2892</f>
        <v>0</v>
      </c>
    </row>
    <row r="2894" spans="3:9" ht="15.95" customHeight="1" x14ac:dyDescent="0.25">
      <c r="C2894" s="158" t="s">
        <v>390</v>
      </c>
      <c r="D2894" s="159" t="s">
        <v>391</v>
      </c>
      <c r="E2894" s="160"/>
      <c r="F2894" s="160"/>
      <c r="G2894" s="161"/>
      <c r="H2894" s="162">
        <f>IF(AND(D2894&lt;&gt;"",F2894&lt;&gt;""),IF(C2894="",IF(F2894="OH",VLOOKUP(D2894,[1]UPAH!$B$3:$G$32,7,0),VLOOKUP(D2894,[1]BAHAN!$A$2:$D$3,4,0)),0),0)</f>
        <v>0</v>
      </c>
      <c r="I2894" s="126">
        <f>SUM(I2881:I2893)/2</f>
        <v>352611.7</v>
      </c>
    </row>
    <row r="2895" spans="3:9" ht="15.95" customHeight="1" thickBot="1" x14ac:dyDescent="0.3">
      <c r="C2895" s="147" t="s">
        <v>392</v>
      </c>
      <c r="D2895" s="148" t="s">
        <v>393</v>
      </c>
      <c r="E2895" s="149"/>
      <c r="F2895" s="149"/>
      <c r="G2895" s="164">
        <v>0.1</v>
      </c>
      <c r="H2895" s="151"/>
      <c r="I2895" s="146">
        <f>G2895*I2894</f>
        <v>35261.170000000006</v>
      </c>
    </row>
    <row r="2896" spans="3:9" ht="15.95" customHeight="1" thickBot="1" x14ac:dyDescent="0.3">
      <c r="C2896" s="111" t="s">
        <v>394</v>
      </c>
      <c r="D2896" s="112" t="s">
        <v>395</v>
      </c>
      <c r="E2896" s="134"/>
      <c r="F2896" s="134"/>
      <c r="G2896" s="156"/>
      <c r="H2896" s="136">
        <f>IF(AND(D2896&lt;&gt;"",F2896&lt;&gt;""),IF(C2896="",IF(F2896="OH",VLOOKUP(D2896,[1]UPAH!$B$3:$G$32,7,0),VLOOKUP(D2896,[1]BAHAN!$A$2:$D$3,4,0)),0),0)</f>
        <v>0</v>
      </c>
      <c r="I2896" s="137">
        <f>ROUNDDOWN(I2894+I2895,0)</f>
        <v>387872</v>
      </c>
    </row>
    <row r="2897" spans="2:10" ht="15.95" customHeight="1" x14ac:dyDescent="0.25">
      <c r="C2897" s="109"/>
      <c r="D2897" s="109"/>
      <c r="G2897" s="157"/>
    </row>
    <row r="2898" spans="2:10" ht="15.95" customHeight="1" thickBot="1" x14ac:dyDescent="0.3">
      <c r="B2898" s="109" t="s">
        <v>859</v>
      </c>
      <c r="C2898" s="104" t="s">
        <v>860</v>
      </c>
      <c r="G2898" s="157"/>
      <c r="J2898" s="110">
        <f>I2916</f>
        <v>387407</v>
      </c>
    </row>
    <row r="2899" spans="2:10" ht="15.95" customHeight="1" thickBot="1" x14ac:dyDescent="0.3">
      <c r="C2899" s="111" t="s">
        <v>328</v>
      </c>
      <c r="D2899" s="112" t="s">
        <v>359</v>
      </c>
      <c r="E2899" s="113" t="s">
        <v>360</v>
      </c>
      <c r="F2899" s="113" t="s">
        <v>330</v>
      </c>
      <c r="G2899" s="114" t="s">
        <v>361</v>
      </c>
      <c r="H2899" s="112" t="s">
        <v>362</v>
      </c>
      <c r="I2899" s="115" t="s">
        <v>363</v>
      </c>
    </row>
    <row r="2900" spans="2:10" ht="15.95" customHeight="1" x14ac:dyDescent="0.25">
      <c r="C2900" s="116" t="s">
        <v>364</v>
      </c>
      <c r="D2900" s="117" t="s">
        <v>365</v>
      </c>
      <c r="E2900" s="118"/>
      <c r="F2900" s="118"/>
      <c r="G2900" s="165"/>
      <c r="H2900" s="144"/>
      <c r="I2900" s="126"/>
    </row>
    <row r="2901" spans="2:10" ht="15.95" customHeight="1" x14ac:dyDescent="0.25">
      <c r="C2901" s="122"/>
      <c r="D2901" s="117" t="s">
        <v>366</v>
      </c>
      <c r="E2901" s="123" t="s">
        <v>367</v>
      </c>
      <c r="F2901" s="123" t="s">
        <v>368</v>
      </c>
      <c r="G2901" s="124">
        <v>0.32</v>
      </c>
      <c r="H2901" s="125">
        <f>VLOOKUP(D2901,Upah,8,FALSE)</f>
        <v>125000</v>
      </c>
      <c r="I2901" s="126">
        <f>G2901*H2901</f>
        <v>40000</v>
      </c>
    </row>
    <row r="2902" spans="2:10" ht="15.95" customHeight="1" x14ac:dyDescent="0.25">
      <c r="C2902" s="122"/>
      <c r="D2902" s="117" t="s">
        <v>505</v>
      </c>
      <c r="E2902" s="123" t="s">
        <v>414</v>
      </c>
      <c r="F2902" s="123" t="s">
        <v>368</v>
      </c>
      <c r="G2902" s="124">
        <v>0.12</v>
      </c>
      <c r="H2902" s="125">
        <f>VLOOKUP(D2902,Upah,8,FALSE)</f>
        <v>150000</v>
      </c>
      <c r="I2902" s="126">
        <f>G2902*H2902</f>
        <v>18000</v>
      </c>
    </row>
    <row r="2903" spans="2:10" ht="15.95" customHeight="1" x14ac:dyDescent="0.25">
      <c r="C2903" s="122"/>
      <c r="D2903" s="117" t="s">
        <v>371</v>
      </c>
      <c r="E2903" s="123" t="s">
        <v>372</v>
      </c>
      <c r="F2903" s="123" t="s">
        <v>368</v>
      </c>
      <c r="G2903" s="124">
        <v>1.2E-2</v>
      </c>
      <c r="H2903" s="125">
        <f>VLOOKUP(D2903,Upah,8,FALSE)</f>
        <v>165000</v>
      </c>
      <c r="I2903" s="126">
        <f>G2903*H2903</f>
        <v>1980</v>
      </c>
    </row>
    <row r="2904" spans="2:10" ht="15.95" customHeight="1" thickBot="1" x14ac:dyDescent="0.3">
      <c r="C2904" s="122"/>
      <c r="D2904" s="117" t="s">
        <v>373</v>
      </c>
      <c r="E2904" s="123" t="s">
        <v>374</v>
      </c>
      <c r="F2904" s="123" t="s">
        <v>368</v>
      </c>
      <c r="G2904" s="124">
        <v>1.6E-2</v>
      </c>
      <c r="H2904" s="125">
        <f>VLOOKUP(D2904,Upah,8,FALSE)</f>
        <v>170000</v>
      </c>
      <c r="I2904" s="126">
        <f>G2904*H2904</f>
        <v>2720</v>
      </c>
    </row>
    <row r="2905" spans="2:10" ht="15.95" customHeight="1" thickBot="1" x14ac:dyDescent="0.3">
      <c r="C2905" s="132"/>
      <c r="D2905" s="133"/>
      <c r="E2905" s="134"/>
      <c r="F2905" s="134"/>
      <c r="G2905" s="135" t="s">
        <v>375</v>
      </c>
      <c r="H2905" s="136"/>
      <c r="I2905" s="137">
        <f>SUM(I2901:I2904)</f>
        <v>62700</v>
      </c>
    </row>
    <row r="2906" spans="2:10" ht="15.95" customHeight="1" x14ac:dyDescent="0.25">
      <c r="C2906" s="116" t="s">
        <v>376</v>
      </c>
      <c r="D2906" s="117" t="s">
        <v>377</v>
      </c>
      <c r="E2906" s="118"/>
      <c r="F2906" s="118"/>
      <c r="G2906" s="165"/>
      <c r="H2906" s="144"/>
      <c r="I2906" s="126"/>
    </row>
    <row r="2907" spans="2:10" ht="15.95" customHeight="1" x14ac:dyDescent="0.25">
      <c r="C2907" s="122"/>
      <c r="D2907" s="117" t="s">
        <v>858</v>
      </c>
      <c r="E2907" s="118"/>
      <c r="F2907" s="123" t="s">
        <v>130</v>
      </c>
      <c r="G2907" s="124">
        <v>12.5</v>
      </c>
      <c r="H2907" s="144">
        <f>VLOOKUP(D2907,Bahan,6,FALSE)</f>
        <v>8260</v>
      </c>
      <c r="I2907" s="126">
        <f>G2907*H2907</f>
        <v>103250</v>
      </c>
    </row>
    <row r="2908" spans="2:10" ht="15.95" customHeight="1" x14ac:dyDescent="0.25">
      <c r="C2908" s="122"/>
      <c r="D2908" s="117" t="s">
        <v>380</v>
      </c>
      <c r="E2908" s="118"/>
      <c r="F2908" s="123" t="s">
        <v>159</v>
      </c>
      <c r="G2908" s="124">
        <v>18.2</v>
      </c>
      <c r="H2908" s="144">
        <f>VLOOKUP(D2908,Bahan,6,FALSE)</f>
        <v>1880</v>
      </c>
      <c r="I2908" s="126">
        <f>G2908*H2908</f>
        <v>34216</v>
      </c>
    </row>
    <row r="2909" spans="2:10" ht="15.95" customHeight="1" x14ac:dyDescent="0.25">
      <c r="C2909" s="122"/>
      <c r="D2909" s="117" t="s">
        <v>493</v>
      </c>
      <c r="E2909" s="118"/>
      <c r="F2909" s="123" t="s">
        <v>158</v>
      </c>
      <c r="G2909" s="124">
        <v>0.58199999999999996</v>
      </c>
      <c r="H2909" s="144">
        <f>VLOOKUP(D2909,Bahan,6,FALSE)</f>
        <v>253510</v>
      </c>
      <c r="I2909" s="126">
        <f>G2909*H2909</f>
        <v>147542.81999999998</v>
      </c>
    </row>
    <row r="2910" spans="2:10" ht="15.95" customHeight="1" thickBot="1" x14ac:dyDescent="0.3">
      <c r="C2910" s="122"/>
      <c r="D2910" s="117" t="s">
        <v>853</v>
      </c>
      <c r="E2910" s="118"/>
      <c r="F2910" s="123" t="s">
        <v>159</v>
      </c>
      <c r="G2910" s="124">
        <v>0.28000000000000003</v>
      </c>
      <c r="H2910" s="144">
        <f>VLOOKUP(D2910,Bahan,6,FALSE)</f>
        <v>16000</v>
      </c>
      <c r="I2910" s="126">
        <f>G2910*H2910</f>
        <v>4480</v>
      </c>
    </row>
    <row r="2911" spans="2:10" ht="15.95" customHeight="1" thickBot="1" x14ac:dyDescent="0.3">
      <c r="C2911" s="132"/>
      <c r="D2911" s="133"/>
      <c r="E2911" s="134"/>
      <c r="F2911" s="134"/>
      <c r="G2911" s="135" t="s">
        <v>386</v>
      </c>
      <c r="H2911" s="136"/>
      <c r="I2911" s="137">
        <f>SUM(I2907:I2910)</f>
        <v>289488.81999999995</v>
      </c>
    </row>
    <row r="2912" spans="2:10" ht="15.95" customHeight="1" thickBot="1" x14ac:dyDescent="0.3">
      <c r="C2912" s="116" t="s">
        <v>387</v>
      </c>
      <c r="D2912" s="117" t="s">
        <v>388</v>
      </c>
      <c r="E2912" s="118"/>
      <c r="F2912" s="118"/>
      <c r="G2912" s="165"/>
      <c r="H2912" s="144">
        <f>IF(AND(D2912&lt;&gt;"",F2912&lt;&gt;""),IF(C2912="",IF(F2912="OH",VLOOKUP(D2912,[1]UPAH!$B$3:$G$32,7,0),VLOOKUP(D2912,[1]BAHAN!$A$2:$D$3,4,0)),0),0)</f>
        <v>0</v>
      </c>
      <c r="I2912" s="126">
        <f>G2912*H2912</f>
        <v>0</v>
      </c>
    </row>
    <row r="2913" spans="2:10" ht="15.95" customHeight="1" thickBot="1" x14ac:dyDescent="0.3">
      <c r="C2913" s="132"/>
      <c r="D2913" s="133"/>
      <c r="E2913" s="134"/>
      <c r="F2913" s="134"/>
      <c r="G2913" s="135" t="s">
        <v>389</v>
      </c>
      <c r="H2913" s="136"/>
      <c r="I2913" s="137">
        <f>I2912</f>
        <v>0</v>
      </c>
    </row>
    <row r="2914" spans="2:10" ht="15.95" customHeight="1" x14ac:dyDescent="0.25">
      <c r="C2914" s="158" t="s">
        <v>390</v>
      </c>
      <c r="D2914" s="159" t="s">
        <v>391</v>
      </c>
      <c r="E2914" s="160"/>
      <c r="F2914" s="160"/>
      <c r="G2914" s="161"/>
      <c r="H2914" s="162">
        <f>IF(AND(D2914&lt;&gt;"",F2914&lt;&gt;""),IF(C2914="",IF(F2914="OH",VLOOKUP(D2914,[1]UPAH!$B$3:$G$32,7,0),VLOOKUP(D2914,[1]BAHAN!$A$2:$D$3,4,0)),0),0)</f>
        <v>0</v>
      </c>
      <c r="I2914" s="126">
        <f>SUM(I2901:I2913)/2</f>
        <v>352188.81999999995</v>
      </c>
    </row>
    <row r="2915" spans="2:10" ht="15.95" customHeight="1" thickBot="1" x14ac:dyDescent="0.3">
      <c r="C2915" s="147" t="s">
        <v>392</v>
      </c>
      <c r="D2915" s="148" t="s">
        <v>393</v>
      </c>
      <c r="E2915" s="149"/>
      <c r="F2915" s="149"/>
      <c r="G2915" s="164">
        <v>0.1</v>
      </c>
      <c r="H2915" s="151"/>
      <c r="I2915" s="146">
        <f>G2915*I2914</f>
        <v>35218.881999999998</v>
      </c>
    </row>
    <row r="2916" spans="2:10" ht="15.95" customHeight="1" thickBot="1" x14ac:dyDescent="0.3">
      <c r="C2916" s="111" t="s">
        <v>394</v>
      </c>
      <c r="D2916" s="112" t="s">
        <v>395</v>
      </c>
      <c r="E2916" s="134"/>
      <c r="F2916" s="134"/>
      <c r="G2916" s="156"/>
      <c r="H2916" s="136">
        <f>IF(AND(D2916&lt;&gt;"",F2916&lt;&gt;""),IF(C2916="",IF(F2916="OH",VLOOKUP(D2916,[1]UPAH!$B$3:$G$32,7,0),VLOOKUP(D2916,[1]BAHAN!$A$2:$D$3,4,0)),0),0)</f>
        <v>0</v>
      </c>
      <c r="I2916" s="137">
        <f>ROUNDDOWN(I2914+I2915,0)</f>
        <v>387407</v>
      </c>
    </row>
    <row r="2917" spans="2:10" ht="15.95" customHeight="1" x14ac:dyDescent="0.25">
      <c r="C2917" s="109"/>
      <c r="D2917" s="109"/>
      <c r="G2917" s="157"/>
    </row>
    <row r="2918" spans="2:10" ht="15.95" customHeight="1" thickBot="1" x14ac:dyDescent="0.3">
      <c r="B2918" s="109" t="s">
        <v>861</v>
      </c>
      <c r="C2918" s="104" t="s">
        <v>862</v>
      </c>
      <c r="G2918" s="157"/>
      <c r="J2918" s="110">
        <f>I2936</f>
        <v>302041</v>
      </c>
    </row>
    <row r="2919" spans="2:10" ht="15.95" customHeight="1" thickBot="1" x14ac:dyDescent="0.3">
      <c r="C2919" s="111" t="s">
        <v>328</v>
      </c>
      <c r="D2919" s="112" t="s">
        <v>359</v>
      </c>
      <c r="E2919" s="113" t="s">
        <v>360</v>
      </c>
      <c r="F2919" s="113" t="s">
        <v>330</v>
      </c>
      <c r="G2919" s="114" t="s">
        <v>361</v>
      </c>
      <c r="H2919" s="112" t="s">
        <v>362</v>
      </c>
      <c r="I2919" s="115" t="s">
        <v>363</v>
      </c>
    </row>
    <row r="2920" spans="2:10" ht="15.95" customHeight="1" x14ac:dyDescent="0.25">
      <c r="C2920" s="116" t="s">
        <v>364</v>
      </c>
      <c r="D2920" s="117" t="s">
        <v>365</v>
      </c>
      <c r="E2920" s="118"/>
      <c r="F2920" s="118"/>
      <c r="G2920" s="165"/>
      <c r="H2920" s="144"/>
      <c r="I2920" s="126"/>
    </row>
    <row r="2921" spans="2:10" ht="15.95" customHeight="1" x14ac:dyDescent="0.25">
      <c r="C2921" s="122"/>
      <c r="D2921" s="117" t="s">
        <v>366</v>
      </c>
      <c r="E2921" s="123" t="s">
        <v>367</v>
      </c>
      <c r="F2921" s="123" t="s">
        <v>368</v>
      </c>
      <c r="G2921" s="124">
        <v>0.3</v>
      </c>
      <c r="H2921" s="125">
        <f>VLOOKUP(D2921,Upah,8,FALSE)</f>
        <v>125000</v>
      </c>
      <c r="I2921" s="126">
        <f>G2921*H2921</f>
        <v>37500</v>
      </c>
    </row>
    <row r="2922" spans="2:10" ht="15.95" customHeight="1" x14ac:dyDescent="0.25">
      <c r="C2922" s="122"/>
      <c r="D2922" s="117" t="s">
        <v>505</v>
      </c>
      <c r="E2922" s="123" t="s">
        <v>414</v>
      </c>
      <c r="F2922" s="123" t="s">
        <v>368</v>
      </c>
      <c r="G2922" s="124">
        <v>0.1</v>
      </c>
      <c r="H2922" s="125">
        <f>VLOOKUP(D2922,Upah,8,FALSE)</f>
        <v>150000</v>
      </c>
      <c r="I2922" s="126">
        <f>G2922*H2922</f>
        <v>15000</v>
      </c>
    </row>
    <row r="2923" spans="2:10" ht="15.95" customHeight="1" x14ac:dyDescent="0.25">
      <c r="C2923" s="122"/>
      <c r="D2923" s="117" t="s">
        <v>371</v>
      </c>
      <c r="E2923" s="123" t="s">
        <v>372</v>
      </c>
      <c r="F2923" s="123" t="s">
        <v>368</v>
      </c>
      <c r="G2923" s="124">
        <v>0.01</v>
      </c>
      <c r="H2923" s="125">
        <f>VLOOKUP(D2923,Upah,8,FALSE)</f>
        <v>165000</v>
      </c>
      <c r="I2923" s="126">
        <f>G2923*H2923</f>
        <v>1650</v>
      </c>
    </row>
    <row r="2924" spans="2:10" ht="15.95" customHeight="1" thickBot="1" x14ac:dyDescent="0.3">
      <c r="C2924" s="122"/>
      <c r="D2924" s="117" t="s">
        <v>373</v>
      </c>
      <c r="E2924" s="123" t="s">
        <v>374</v>
      </c>
      <c r="F2924" s="123" t="s">
        <v>368</v>
      </c>
      <c r="G2924" s="124">
        <v>1.4999999999999999E-2</v>
      </c>
      <c r="H2924" s="125">
        <f>VLOOKUP(D2924,Upah,8,FALSE)</f>
        <v>170000</v>
      </c>
      <c r="I2924" s="126">
        <f>G2924*H2924</f>
        <v>2550</v>
      </c>
    </row>
    <row r="2925" spans="2:10" ht="15.95" customHeight="1" thickBot="1" x14ac:dyDescent="0.3">
      <c r="C2925" s="132"/>
      <c r="D2925" s="133"/>
      <c r="E2925" s="134"/>
      <c r="F2925" s="134"/>
      <c r="G2925" s="135" t="s">
        <v>375</v>
      </c>
      <c r="H2925" s="136"/>
      <c r="I2925" s="137">
        <f>SUM(I2921:I2924)</f>
        <v>56700</v>
      </c>
    </row>
    <row r="2926" spans="2:10" ht="15.95" customHeight="1" x14ac:dyDescent="0.25">
      <c r="C2926" s="116" t="s">
        <v>376</v>
      </c>
      <c r="D2926" s="117" t="s">
        <v>377</v>
      </c>
      <c r="E2926" s="118"/>
      <c r="F2926" s="118"/>
      <c r="G2926" s="165"/>
      <c r="H2926" s="144"/>
      <c r="I2926" s="126"/>
    </row>
    <row r="2927" spans="2:10" ht="15.95" customHeight="1" x14ac:dyDescent="0.25">
      <c r="C2927" s="122"/>
      <c r="D2927" s="117" t="s">
        <v>863</v>
      </c>
      <c r="E2927" s="118"/>
      <c r="F2927" s="123" t="s">
        <v>130</v>
      </c>
      <c r="G2927" s="124">
        <v>12.5</v>
      </c>
      <c r="H2927" s="144">
        <f>VLOOKUP(D2927,Bahan,6,FALSE)</f>
        <v>7410</v>
      </c>
      <c r="I2927" s="126">
        <f>G2927*H2927</f>
        <v>92625</v>
      </c>
    </row>
    <row r="2928" spans="2:10" ht="15.95" customHeight="1" x14ac:dyDescent="0.25">
      <c r="C2928" s="122"/>
      <c r="D2928" s="117" t="s">
        <v>380</v>
      </c>
      <c r="E2928" s="118"/>
      <c r="F2928" s="123" t="s">
        <v>159</v>
      </c>
      <c r="G2928" s="124">
        <v>15.16</v>
      </c>
      <c r="H2928" s="144">
        <f>VLOOKUP(D2928,Bahan,6,FALSE)</f>
        <v>1880</v>
      </c>
      <c r="I2928" s="126">
        <f>G2928*H2928</f>
        <v>28500.799999999999</v>
      </c>
    </row>
    <row r="2929" spans="2:10" ht="15.95" customHeight="1" x14ac:dyDescent="0.25">
      <c r="C2929" s="122"/>
      <c r="D2929" s="117" t="s">
        <v>493</v>
      </c>
      <c r="E2929" s="118"/>
      <c r="F2929" s="123" t="s">
        <v>158</v>
      </c>
      <c r="G2929" s="124">
        <v>0.36399999999999999</v>
      </c>
      <c r="H2929" s="144">
        <f>VLOOKUP(D2929,Bahan,6,FALSE)</f>
        <v>253510</v>
      </c>
      <c r="I2929" s="126">
        <f>G2929*H2929</f>
        <v>92277.64</v>
      </c>
    </row>
    <row r="2930" spans="2:10" ht="15.95" customHeight="1" thickBot="1" x14ac:dyDescent="0.3">
      <c r="C2930" s="122"/>
      <c r="D2930" s="117" t="s">
        <v>853</v>
      </c>
      <c r="E2930" s="118"/>
      <c r="F2930" s="123" t="s">
        <v>159</v>
      </c>
      <c r="G2930" s="124">
        <v>0.28000000000000003</v>
      </c>
      <c r="H2930" s="144">
        <f>VLOOKUP(D2930,Bahan,6,FALSE)</f>
        <v>16000</v>
      </c>
      <c r="I2930" s="126">
        <f>G2930*H2930</f>
        <v>4480</v>
      </c>
    </row>
    <row r="2931" spans="2:10" ht="15.95" customHeight="1" thickBot="1" x14ac:dyDescent="0.3">
      <c r="C2931" s="132"/>
      <c r="D2931" s="133"/>
      <c r="E2931" s="134"/>
      <c r="F2931" s="134"/>
      <c r="G2931" s="135" t="s">
        <v>386</v>
      </c>
      <c r="H2931" s="136"/>
      <c r="I2931" s="137">
        <f>SUM(I2927:I2930)</f>
        <v>217883.44</v>
      </c>
    </row>
    <row r="2932" spans="2:10" ht="15.95" customHeight="1" thickBot="1" x14ac:dyDescent="0.3">
      <c r="C2932" s="116" t="s">
        <v>387</v>
      </c>
      <c r="D2932" s="117" t="s">
        <v>388</v>
      </c>
      <c r="E2932" s="118"/>
      <c r="F2932" s="118"/>
      <c r="G2932" s="165"/>
      <c r="H2932" s="144">
        <f>IF(AND(D2932&lt;&gt;"",F2932&lt;&gt;""),IF(C2932="",IF(F2932="OH",VLOOKUP(D2932,[1]UPAH!$B$3:$G$32,7,0),VLOOKUP(D2932,[1]BAHAN!$A$2:$D$3,4,0)),0),0)</f>
        <v>0</v>
      </c>
      <c r="I2932" s="126">
        <f>G2932*H2932</f>
        <v>0</v>
      </c>
    </row>
    <row r="2933" spans="2:10" ht="15.95" customHeight="1" thickBot="1" x14ac:dyDescent="0.3">
      <c r="C2933" s="132"/>
      <c r="D2933" s="133"/>
      <c r="E2933" s="134"/>
      <c r="F2933" s="134"/>
      <c r="G2933" s="135" t="s">
        <v>389</v>
      </c>
      <c r="H2933" s="136"/>
      <c r="I2933" s="137">
        <f>I2932</f>
        <v>0</v>
      </c>
    </row>
    <row r="2934" spans="2:10" ht="15.95" customHeight="1" x14ac:dyDescent="0.25">
      <c r="C2934" s="158" t="s">
        <v>390</v>
      </c>
      <c r="D2934" s="159" t="s">
        <v>391</v>
      </c>
      <c r="E2934" s="160"/>
      <c r="F2934" s="160"/>
      <c r="G2934" s="161"/>
      <c r="H2934" s="162">
        <f>IF(AND(D2934&lt;&gt;"",F2934&lt;&gt;""),IF(C2934="",IF(F2934="OH",VLOOKUP(D2934,[1]UPAH!$B$3:$G$32,7,0),VLOOKUP(D2934,[1]BAHAN!$A$2:$D$3,4,0)),0),0)</f>
        <v>0</v>
      </c>
      <c r="I2934" s="126">
        <f>SUM(I2921:I2933)/2</f>
        <v>274583.44</v>
      </c>
    </row>
    <row r="2935" spans="2:10" ht="15.95" customHeight="1" thickBot="1" x14ac:dyDescent="0.3">
      <c r="C2935" s="147" t="s">
        <v>392</v>
      </c>
      <c r="D2935" s="148" t="s">
        <v>393</v>
      </c>
      <c r="E2935" s="149"/>
      <c r="F2935" s="149"/>
      <c r="G2935" s="164">
        <v>0.1</v>
      </c>
      <c r="H2935" s="151"/>
      <c r="I2935" s="146">
        <f>G2935*I2934</f>
        <v>27458.344000000001</v>
      </c>
    </row>
    <row r="2936" spans="2:10" ht="15.95" customHeight="1" thickBot="1" x14ac:dyDescent="0.3">
      <c r="C2936" s="111" t="s">
        <v>394</v>
      </c>
      <c r="D2936" s="112" t="s">
        <v>395</v>
      </c>
      <c r="E2936" s="134"/>
      <c r="F2936" s="134"/>
      <c r="G2936" s="156"/>
      <c r="H2936" s="136">
        <f>IF(AND(D2936&lt;&gt;"",F2936&lt;&gt;""),IF(C2936="",IF(F2936="OH",VLOOKUP(D2936,[1]UPAH!$B$3:$G$32,7,0),VLOOKUP(D2936,[1]BAHAN!$A$2:$D$3,4,0)),0),0)</f>
        <v>0</v>
      </c>
      <c r="I2936" s="137">
        <f>ROUNDDOWN(I2934+I2935,0)</f>
        <v>302041</v>
      </c>
    </row>
    <row r="2937" spans="2:10" ht="15.95" customHeight="1" x14ac:dyDescent="0.25">
      <c r="C2937" s="109"/>
      <c r="D2937" s="109"/>
      <c r="G2937" s="157"/>
    </row>
    <row r="2938" spans="2:10" ht="15.95" customHeight="1" thickBot="1" x14ac:dyDescent="0.3">
      <c r="B2938" s="109" t="s">
        <v>864</v>
      </c>
      <c r="C2938" s="104" t="s">
        <v>865</v>
      </c>
      <c r="G2938" s="157"/>
      <c r="J2938" s="110">
        <f>I2956</f>
        <v>302468</v>
      </c>
    </row>
    <row r="2939" spans="2:10" ht="15.95" customHeight="1" thickBot="1" x14ac:dyDescent="0.3">
      <c r="C2939" s="111" t="s">
        <v>328</v>
      </c>
      <c r="D2939" s="112" t="s">
        <v>359</v>
      </c>
      <c r="E2939" s="113" t="s">
        <v>360</v>
      </c>
      <c r="F2939" s="113" t="s">
        <v>330</v>
      </c>
      <c r="G2939" s="114" t="s">
        <v>361</v>
      </c>
      <c r="H2939" s="112" t="s">
        <v>362</v>
      </c>
      <c r="I2939" s="115" t="s">
        <v>363</v>
      </c>
    </row>
    <row r="2940" spans="2:10" ht="15.95" customHeight="1" x14ac:dyDescent="0.25">
      <c r="C2940" s="116" t="s">
        <v>364</v>
      </c>
      <c r="D2940" s="117" t="s">
        <v>365</v>
      </c>
      <c r="E2940" s="118"/>
      <c r="F2940" s="118"/>
      <c r="G2940" s="165"/>
      <c r="H2940" s="144"/>
      <c r="I2940" s="126"/>
    </row>
    <row r="2941" spans="2:10" ht="15.95" customHeight="1" x14ac:dyDescent="0.25">
      <c r="C2941" s="122"/>
      <c r="D2941" s="117" t="s">
        <v>366</v>
      </c>
      <c r="E2941" s="123" t="s">
        <v>367</v>
      </c>
      <c r="F2941" s="123" t="s">
        <v>368</v>
      </c>
      <c r="G2941" s="124">
        <v>0.3</v>
      </c>
      <c r="H2941" s="125">
        <f>VLOOKUP(D2941,Upah,8,FALSE)</f>
        <v>125000</v>
      </c>
      <c r="I2941" s="126">
        <f>G2941*H2941</f>
        <v>37500</v>
      </c>
    </row>
    <row r="2942" spans="2:10" ht="15.95" customHeight="1" x14ac:dyDescent="0.25">
      <c r="C2942" s="122"/>
      <c r="D2942" s="117" t="s">
        <v>505</v>
      </c>
      <c r="E2942" s="123" t="s">
        <v>414</v>
      </c>
      <c r="F2942" s="123" t="s">
        <v>368</v>
      </c>
      <c r="G2942" s="124">
        <v>0.1</v>
      </c>
      <c r="H2942" s="125">
        <f>VLOOKUP(D2942,Upah,8,FALSE)</f>
        <v>150000</v>
      </c>
      <c r="I2942" s="126">
        <f>G2942*H2942</f>
        <v>15000</v>
      </c>
    </row>
    <row r="2943" spans="2:10" ht="15.95" customHeight="1" x14ac:dyDescent="0.25">
      <c r="C2943" s="122"/>
      <c r="D2943" s="117" t="s">
        <v>371</v>
      </c>
      <c r="E2943" s="123" t="s">
        <v>372</v>
      </c>
      <c r="F2943" s="123" t="s">
        <v>368</v>
      </c>
      <c r="G2943" s="124">
        <v>0.01</v>
      </c>
      <c r="H2943" s="125">
        <f>VLOOKUP(D2943,Upah,8,FALSE)</f>
        <v>165000</v>
      </c>
      <c r="I2943" s="126">
        <f>G2943*H2943</f>
        <v>1650</v>
      </c>
    </row>
    <row r="2944" spans="2:10" ht="15.95" customHeight="1" thickBot="1" x14ac:dyDescent="0.3">
      <c r="C2944" s="122"/>
      <c r="D2944" s="117" t="s">
        <v>373</v>
      </c>
      <c r="E2944" s="123" t="s">
        <v>374</v>
      </c>
      <c r="F2944" s="123" t="s">
        <v>368</v>
      </c>
      <c r="G2944" s="124">
        <v>1.4999999999999999E-2</v>
      </c>
      <c r="H2944" s="125">
        <f>VLOOKUP(D2944,Upah,8,FALSE)</f>
        <v>170000</v>
      </c>
      <c r="I2944" s="126">
        <f>G2944*H2944</f>
        <v>2550</v>
      </c>
    </row>
    <row r="2945" spans="2:10" ht="15.95" customHeight="1" thickBot="1" x14ac:dyDescent="0.3">
      <c r="C2945" s="132"/>
      <c r="D2945" s="133"/>
      <c r="E2945" s="134"/>
      <c r="F2945" s="134"/>
      <c r="G2945" s="135" t="s">
        <v>375</v>
      </c>
      <c r="H2945" s="136"/>
      <c r="I2945" s="137">
        <f>SUM(I2941:I2944)</f>
        <v>56700</v>
      </c>
    </row>
    <row r="2946" spans="2:10" ht="15.95" customHeight="1" x14ac:dyDescent="0.25">
      <c r="C2946" s="116" t="s">
        <v>376</v>
      </c>
      <c r="D2946" s="117" t="s">
        <v>377</v>
      </c>
      <c r="E2946" s="118"/>
      <c r="F2946" s="118"/>
      <c r="G2946" s="165"/>
      <c r="H2946" s="144"/>
      <c r="I2946" s="126"/>
    </row>
    <row r="2947" spans="2:10" ht="15.95" customHeight="1" x14ac:dyDescent="0.25">
      <c r="C2947" s="122"/>
      <c r="D2947" s="117" t="s">
        <v>863</v>
      </c>
      <c r="E2947" s="118"/>
      <c r="F2947" s="123" t="s">
        <v>130</v>
      </c>
      <c r="G2947" s="124">
        <v>12.5</v>
      </c>
      <c r="H2947" s="144">
        <f>VLOOKUP(D2947,Bahan,6,FALSE)</f>
        <v>7410</v>
      </c>
      <c r="I2947" s="126">
        <f>G2947*H2947</f>
        <v>92625</v>
      </c>
    </row>
    <row r="2948" spans="2:10" ht="15.95" customHeight="1" x14ac:dyDescent="0.25">
      <c r="C2948" s="122"/>
      <c r="D2948" s="117" t="s">
        <v>380</v>
      </c>
      <c r="E2948" s="118"/>
      <c r="F2948" s="123" t="s">
        <v>159</v>
      </c>
      <c r="G2948" s="124">
        <v>12.13</v>
      </c>
      <c r="H2948" s="144">
        <f>VLOOKUP(D2948,Bahan,6,FALSE)</f>
        <v>1880</v>
      </c>
      <c r="I2948" s="126">
        <f>G2948*H2948</f>
        <v>22804.400000000001</v>
      </c>
    </row>
    <row r="2949" spans="2:10" ht="15.95" customHeight="1" x14ac:dyDescent="0.25">
      <c r="C2949" s="122"/>
      <c r="D2949" s="117" t="s">
        <v>493</v>
      </c>
      <c r="E2949" s="118"/>
      <c r="F2949" s="123" t="s">
        <v>158</v>
      </c>
      <c r="G2949" s="124">
        <v>0.38800000000000001</v>
      </c>
      <c r="H2949" s="144">
        <f>VLOOKUP(D2949,Bahan,6,FALSE)</f>
        <v>253510</v>
      </c>
      <c r="I2949" s="126">
        <f>G2949*H2949</f>
        <v>98361.88</v>
      </c>
    </row>
    <row r="2950" spans="2:10" ht="15.95" customHeight="1" thickBot="1" x14ac:dyDescent="0.3">
      <c r="C2950" s="122"/>
      <c r="D2950" s="117" t="s">
        <v>853</v>
      </c>
      <c r="E2950" s="118"/>
      <c r="F2950" s="123" t="s">
        <v>159</v>
      </c>
      <c r="G2950" s="124">
        <v>0.28000000000000003</v>
      </c>
      <c r="H2950" s="144">
        <f>VLOOKUP(D2950,Bahan,6,FALSE)</f>
        <v>16000</v>
      </c>
      <c r="I2950" s="126">
        <f>G2950*H2950</f>
        <v>4480</v>
      </c>
    </row>
    <row r="2951" spans="2:10" ht="15.95" customHeight="1" thickBot="1" x14ac:dyDescent="0.3">
      <c r="C2951" s="132"/>
      <c r="D2951" s="133"/>
      <c r="E2951" s="134"/>
      <c r="F2951" s="134"/>
      <c r="G2951" s="135" t="s">
        <v>386</v>
      </c>
      <c r="H2951" s="136"/>
      <c r="I2951" s="137">
        <f>SUM(I2947:I2950)</f>
        <v>218271.28</v>
      </c>
    </row>
    <row r="2952" spans="2:10" ht="15.95" customHeight="1" thickBot="1" x14ac:dyDescent="0.3">
      <c r="C2952" s="116" t="s">
        <v>387</v>
      </c>
      <c r="D2952" s="117" t="s">
        <v>388</v>
      </c>
      <c r="E2952" s="118"/>
      <c r="F2952" s="118"/>
      <c r="G2952" s="165"/>
      <c r="H2952" s="144">
        <f>IF(AND(D2952&lt;&gt;"",F2952&lt;&gt;""),IF(C2952="",IF(F2952="OH",VLOOKUP(D2952,[1]UPAH!$B$3:$G$32,7,0),VLOOKUP(D2952,[1]BAHAN!$A$2:$D$3,4,0)),0),0)</f>
        <v>0</v>
      </c>
      <c r="I2952" s="126">
        <f>G2952*H2952</f>
        <v>0</v>
      </c>
    </row>
    <row r="2953" spans="2:10" ht="15.95" customHeight="1" thickBot="1" x14ac:dyDescent="0.3">
      <c r="C2953" s="132"/>
      <c r="D2953" s="133"/>
      <c r="E2953" s="134"/>
      <c r="F2953" s="134"/>
      <c r="G2953" s="135" t="s">
        <v>389</v>
      </c>
      <c r="H2953" s="136"/>
      <c r="I2953" s="137">
        <f>I2952</f>
        <v>0</v>
      </c>
    </row>
    <row r="2954" spans="2:10" ht="15.95" customHeight="1" x14ac:dyDescent="0.25">
      <c r="C2954" s="158" t="s">
        <v>390</v>
      </c>
      <c r="D2954" s="159" t="s">
        <v>391</v>
      </c>
      <c r="E2954" s="160"/>
      <c r="F2954" s="160"/>
      <c r="G2954" s="161"/>
      <c r="H2954" s="162">
        <f>IF(AND(D2954&lt;&gt;"",F2954&lt;&gt;""),IF(C2954="",IF(F2954="OH",VLOOKUP(D2954,[1]UPAH!$B$3:$G$32,7,0),VLOOKUP(D2954,[1]BAHAN!$A$2:$D$3,4,0)),0),0)</f>
        <v>0</v>
      </c>
      <c r="I2954" s="126">
        <f>SUM(I2941:I2953)/2</f>
        <v>274971.28000000003</v>
      </c>
    </row>
    <row r="2955" spans="2:10" ht="15.95" customHeight="1" thickBot="1" x14ac:dyDescent="0.3">
      <c r="C2955" s="147" t="s">
        <v>392</v>
      </c>
      <c r="D2955" s="148" t="s">
        <v>393</v>
      </c>
      <c r="E2955" s="149"/>
      <c r="F2955" s="149"/>
      <c r="G2955" s="164">
        <v>0.1</v>
      </c>
      <c r="H2955" s="151"/>
      <c r="I2955" s="146">
        <f>G2955*I2954</f>
        <v>27497.128000000004</v>
      </c>
    </row>
    <row r="2956" spans="2:10" ht="15.95" customHeight="1" thickBot="1" x14ac:dyDescent="0.3">
      <c r="C2956" s="111" t="s">
        <v>394</v>
      </c>
      <c r="D2956" s="112" t="s">
        <v>395</v>
      </c>
      <c r="E2956" s="134"/>
      <c r="F2956" s="134"/>
      <c r="G2956" s="156"/>
      <c r="H2956" s="136">
        <f>IF(AND(D2956&lt;&gt;"",F2956&lt;&gt;""),IF(C2956="",IF(F2956="OH",VLOOKUP(D2956,[1]UPAH!$B$3:$G$32,7,0),VLOOKUP(D2956,[1]BAHAN!$A$2:$D$3,4,0)),0),0)</f>
        <v>0</v>
      </c>
      <c r="I2956" s="137">
        <f>ROUNDDOWN(I2954+I2955,0)</f>
        <v>302468</v>
      </c>
    </row>
    <row r="2957" spans="2:10" ht="15.95" customHeight="1" x14ac:dyDescent="0.25">
      <c r="C2957" s="109"/>
      <c r="D2957" s="109"/>
      <c r="G2957" s="157"/>
    </row>
    <row r="2958" spans="2:10" ht="15.95" customHeight="1" thickBot="1" x14ac:dyDescent="0.3">
      <c r="B2958" s="109" t="s">
        <v>866</v>
      </c>
      <c r="C2958" s="104" t="s">
        <v>867</v>
      </c>
      <c r="G2958" s="157"/>
      <c r="J2958" s="110">
        <f>I2975</f>
        <v>123258</v>
      </c>
    </row>
    <row r="2959" spans="2:10" ht="15.95" customHeight="1" thickBot="1" x14ac:dyDescent="0.3">
      <c r="C2959" s="111" t="s">
        <v>328</v>
      </c>
      <c r="D2959" s="112" t="s">
        <v>359</v>
      </c>
      <c r="E2959" s="113" t="s">
        <v>360</v>
      </c>
      <c r="F2959" s="113" t="s">
        <v>330</v>
      </c>
      <c r="G2959" s="114" t="s">
        <v>361</v>
      </c>
      <c r="H2959" s="112" t="s">
        <v>362</v>
      </c>
      <c r="I2959" s="115" t="s">
        <v>363</v>
      </c>
    </row>
    <row r="2960" spans="2:10" ht="15.95" customHeight="1" x14ac:dyDescent="0.25">
      <c r="C2960" s="116" t="s">
        <v>364</v>
      </c>
      <c r="D2960" s="117" t="s">
        <v>365</v>
      </c>
      <c r="E2960" s="118"/>
      <c r="F2960" s="118"/>
      <c r="G2960" s="165"/>
      <c r="H2960" s="144"/>
      <c r="I2960" s="126"/>
    </row>
    <row r="2961" spans="3:9" ht="15.95" customHeight="1" x14ac:dyDescent="0.25">
      <c r="C2961" s="122"/>
      <c r="D2961" s="117" t="s">
        <v>366</v>
      </c>
      <c r="E2961" s="123" t="s">
        <v>367</v>
      </c>
      <c r="F2961" s="123" t="s">
        <v>368</v>
      </c>
      <c r="G2961" s="124">
        <v>0.3</v>
      </c>
      <c r="H2961" s="125">
        <f>VLOOKUP(D2961,Upah,8,FALSE)</f>
        <v>125000</v>
      </c>
      <c r="I2961" s="126">
        <f>G2961*H2961</f>
        <v>37500</v>
      </c>
    </row>
    <row r="2962" spans="3:9" ht="15.95" customHeight="1" x14ac:dyDescent="0.25">
      <c r="C2962" s="122"/>
      <c r="D2962" s="117" t="s">
        <v>505</v>
      </c>
      <c r="E2962" s="123" t="s">
        <v>414</v>
      </c>
      <c r="F2962" s="123" t="s">
        <v>368</v>
      </c>
      <c r="G2962" s="124">
        <v>0.1</v>
      </c>
      <c r="H2962" s="125">
        <f>VLOOKUP(D2962,Upah,8,FALSE)</f>
        <v>150000</v>
      </c>
      <c r="I2962" s="126">
        <f>G2962*H2962</f>
        <v>15000</v>
      </c>
    </row>
    <row r="2963" spans="3:9" ht="15.95" customHeight="1" x14ac:dyDescent="0.25">
      <c r="C2963" s="122"/>
      <c r="D2963" s="117" t="s">
        <v>371</v>
      </c>
      <c r="E2963" s="123" t="s">
        <v>372</v>
      </c>
      <c r="F2963" s="123" t="s">
        <v>368</v>
      </c>
      <c r="G2963" s="124">
        <v>0.01</v>
      </c>
      <c r="H2963" s="125">
        <f>VLOOKUP(D2963,Upah,8,FALSE)</f>
        <v>165000</v>
      </c>
      <c r="I2963" s="126">
        <f>G2963*H2963</f>
        <v>1650</v>
      </c>
    </row>
    <row r="2964" spans="3:9" ht="15.95" customHeight="1" thickBot="1" x14ac:dyDescent="0.3">
      <c r="C2964" s="122"/>
      <c r="D2964" s="117" t="s">
        <v>373</v>
      </c>
      <c r="E2964" s="123" t="s">
        <v>374</v>
      </c>
      <c r="F2964" s="123" t="s">
        <v>368</v>
      </c>
      <c r="G2964" s="124">
        <v>1.4999999999999999E-2</v>
      </c>
      <c r="H2964" s="125">
        <f>VLOOKUP(D2964,Upah,8,FALSE)</f>
        <v>170000</v>
      </c>
      <c r="I2964" s="126">
        <f>G2964*H2964</f>
        <v>2550</v>
      </c>
    </row>
    <row r="2965" spans="3:9" ht="15.95" customHeight="1" thickBot="1" x14ac:dyDescent="0.3">
      <c r="C2965" s="132"/>
      <c r="D2965" s="133"/>
      <c r="E2965" s="134"/>
      <c r="F2965" s="134"/>
      <c r="G2965" s="135" t="s">
        <v>375</v>
      </c>
      <c r="H2965" s="136"/>
      <c r="I2965" s="137">
        <f>SUM(I2961:I2964)</f>
        <v>56700</v>
      </c>
    </row>
    <row r="2966" spans="3:9" ht="15.95" customHeight="1" x14ac:dyDescent="0.25">
      <c r="C2966" s="116" t="s">
        <v>376</v>
      </c>
      <c r="D2966" s="117" t="s">
        <v>377</v>
      </c>
      <c r="E2966" s="118"/>
      <c r="F2966" s="118"/>
      <c r="G2966" s="165"/>
      <c r="H2966" s="144"/>
      <c r="I2966" s="126"/>
    </row>
    <row r="2967" spans="3:9" ht="15.95" customHeight="1" x14ac:dyDescent="0.25">
      <c r="C2967" s="122"/>
      <c r="D2967" s="117" t="s">
        <v>868</v>
      </c>
      <c r="E2967" s="118"/>
      <c r="F2967" s="123" t="s">
        <v>130</v>
      </c>
      <c r="G2967" s="124">
        <v>30</v>
      </c>
      <c r="H2967" s="144">
        <f>VLOOKUP(D2967,Bahan,6,FALSE)</f>
        <v>860</v>
      </c>
      <c r="I2967" s="126">
        <f>G2967*H2967</f>
        <v>25800</v>
      </c>
    </row>
    <row r="2968" spans="3:9" ht="15.95" customHeight="1" x14ac:dyDescent="0.25">
      <c r="C2968" s="122"/>
      <c r="D2968" s="117" t="s">
        <v>380</v>
      </c>
      <c r="E2968" s="118"/>
      <c r="F2968" s="123" t="s">
        <v>159</v>
      </c>
      <c r="G2968" s="124">
        <v>11</v>
      </c>
      <c r="H2968" s="144">
        <f>VLOOKUP(D2968,Bahan,6,FALSE)</f>
        <v>1880</v>
      </c>
      <c r="I2968" s="126">
        <f>G2968*H2968</f>
        <v>20680</v>
      </c>
    </row>
    <row r="2969" spans="3:9" ht="15.95" customHeight="1" thickBot="1" x14ac:dyDescent="0.3">
      <c r="C2969" s="122"/>
      <c r="D2969" s="117" t="s">
        <v>493</v>
      </c>
      <c r="E2969" s="118"/>
      <c r="F2969" s="123" t="s">
        <v>158</v>
      </c>
      <c r="G2969" s="124">
        <v>3.5000000000000003E-2</v>
      </c>
      <c r="H2969" s="144">
        <f>VLOOKUP(D2969,Bahan,6,FALSE)</f>
        <v>253510</v>
      </c>
      <c r="I2969" s="126">
        <f>G2969*H2969</f>
        <v>8872.85</v>
      </c>
    </row>
    <row r="2970" spans="3:9" ht="15.95" customHeight="1" thickBot="1" x14ac:dyDescent="0.3">
      <c r="C2970" s="132"/>
      <c r="D2970" s="133"/>
      <c r="E2970" s="134"/>
      <c r="F2970" s="134"/>
      <c r="G2970" s="135" t="s">
        <v>386</v>
      </c>
      <c r="H2970" s="136"/>
      <c r="I2970" s="137">
        <f>SUM(I2967:I2969)</f>
        <v>55352.85</v>
      </c>
    </row>
    <row r="2971" spans="3:9" ht="15.95" customHeight="1" thickBot="1" x14ac:dyDescent="0.3">
      <c r="C2971" s="116" t="s">
        <v>387</v>
      </c>
      <c r="D2971" s="117" t="s">
        <v>388</v>
      </c>
      <c r="E2971" s="118"/>
      <c r="F2971" s="118"/>
      <c r="G2971" s="165"/>
      <c r="H2971" s="144">
        <f>IF(AND(D2971&lt;&gt;"",F2971&lt;&gt;""),IF(C2971="",IF(F2971="OH",VLOOKUP(D2971,[1]UPAH!$B$3:$G$32,7,0),VLOOKUP(D2971,[1]BAHAN!$A$2:$D$3,4,0)),0),0)</f>
        <v>0</v>
      </c>
      <c r="I2971" s="126">
        <f>G2971*H2971</f>
        <v>0</v>
      </c>
    </row>
    <row r="2972" spans="3:9" ht="15.95" customHeight="1" thickBot="1" x14ac:dyDescent="0.3">
      <c r="C2972" s="132"/>
      <c r="D2972" s="133"/>
      <c r="E2972" s="134"/>
      <c r="F2972" s="134"/>
      <c r="G2972" s="135" t="s">
        <v>389</v>
      </c>
      <c r="H2972" s="136"/>
      <c r="I2972" s="137">
        <f>I2971</f>
        <v>0</v>
      </c>
    </row>
    <row r="2973" spans="3:9" ht="15.95" customHeight="1" x14ac:dyDescent="0.25">
      <c r="C2973" s="158" t="s">
        <v>390</v>
      </c>
      <c r="D2973" s="159" t="s">
        <v>391</v>
      </c>
      <c r="E2973" s="160"/>
      <c r="F2973" s="160"/>
      <c r="G2973" s="161"/>
      <c r="H2973" s="162">
        <f>IF(AND(D2973&lt;&gt;"",F2973&lt;&gt;""),IF(C2973="",IF(F2973="OH",VLOOKUP(D2973,[1]UPAH!$B$3:$G$32,7,0),VLOOKUP(D2973,[1]BAHAN!$A$2:$D$3,4,0)),0),0)</f>
        <v>0</v>
      </c>
      <c r="I2973" s="126">
        <f>SUM(I2961:I2972)/2</f>
        <v>112052.85</v>
      </c>
    </row>
    <row r="2974" spans="3:9" ht="15.95" customHeight="1" thickBot="1" x14ac:dyDescent="0.3">
      <c r="C2974" s="147" t="s">
        <v>392</v>
      </c>
      <c r="D2974" s="148" t="s">
        <v>393</v>
      </c>
      <c r="E2974" s="149"/>
      <c r="F2974" s="149"/>
      <c r="G2974" s="164">
        <v>0.1</v>
      </c>
      <c r="H2974" s="151"/>
      <c r="I2974" s="146">
        <f>G2974*I2973</f>
        <v>11205.285000000002</v>
      </c>
    </row>
    <row r="2975" spans="3:9" ht="15.95" customHeight="1" thickBot="1" x14ac:dyDescent="0.3">
      <c r="C2975" s="111" t="s">
        <v>394</v>
      </c>
      <c r="D2975" s="112" t="s">
        <v>395</v>
      </c>
      <c r="E2975" s="134"/>
      <c r="F2975" s="134"/>
      <c r="G2975" s="156"/>
      <c r="H2975" s="136">
        <f>IF(AND(D2975&lt;&gt;"",F2975&lt;&gt;""),IF(C2975="",IF(F2975="OH",VLOOKUP(D2975,[1]UPAH!$B$3:$G$32,7,0),VLOOKUP(D2975,[1]BAHAN!$A$2:$D$3,4,0)),0),0)</f>
        <v>0</v>
      </c>
      <c r="I2975" s="137">
        <f>ROUNDDOWN(I2973+I2974,0)</f>
        <v>123258</v>
      </c>
    </row>
    <row r="2976" spans="3:9" ht="15.95" customHeight="1" x14ac:dyDescent="0.25">
      <c r="C2976" s="109"/>
      <c r="D2976" s="109"/>
      <c r="G2976" s="157"/>
    </row>
    <row r="2977" spans="2:10" ht="15.95" customHeight="1" thickBot="1" x14ac:dyDescent="0.3">
      <c r="B2977" s="109" t="s">
        <v>869</v>
      </c>
      <c r="C2977" s="104" t="s">
        <v>870</v>
      </c>
      <c r="G2977" s="157"/>
      <c r="J2977" s="110">
        <f>I2994</f>
        <v>154938</v>
      </c>
    </row>
    <row r="2978" spans="2:10" ht="15.95" customHeight="1" thickBot="1" x14ac:dyDescent="0.3">
      <c r="C2978" s="111" t="s">
        <v>328</v>
      </c>
      <c r="D2978" s="112" t="s">
        <v>359</v>
      </c>
      <c r="E2978" s="113" t="s">
        <v>360</v>
      </c>
      <c r="F2978" s="113" t="s">
        <v>330</v>
      </c>
      <c r="G2978" s="114" t="s">
        <v>361</v>
      </c>
      <c r="H2978" s="112" t="s">
        <v>362</v>
      </c>
      <c r="I2978" s="115" t="s">
        <v>363</v>
      </c>
    </row>
    <row r="2979" spans="2:10" ht="15.95" customHeight="1" x14ac:dyDescent="0.25">
      <c r="C2979" s="116" t="s">
        <v>364</v>
      </c>
      <c r="D2979" s="117" t="s">
        <v>365</v>
      </c>
      <c r="E2979" s="118"/>
      <c r="F2979" s="118"/>
      <c r="G2979" s="165"/>
      <c r="H2979" s="144"/>
      <c r="I2979" s="126"/>
    </row>
    <row r="2980" spans="2:10" ht="15.95" customHeight="1" x14ac:dyDescent="0.25">
      <c r="C2980" s="122"/>
      <c r="D2980" s="117" t="s">
        <v>366</v>
      </c>
      <c r="E2980" s="123" t="s">
        <v>367</v>
      </c>
      <c r="F2980" s="123" t="s">
        <v>368</v>
      </c>
      <c r="G2980" s="124">
        <v>0.3</v>
      </c>
      <c r="H2980" s="125">
        <f>VLOOKUP(D2980,Upah,8,FALSE)</f>
        <v>125000</v>
      </c>
      <c r="I2980" s="126">
        <f>G2980*H2980</f>
        <v>37500</v>
      </c>
    </row>
    <row r="2981" spans="2:10" ht="15.95" customHeight="1" x14ac:dyDescent="0.25">
      <c r="C2981" s="122"/>
      <c r="D2981" s="117" t="s">
        <v>505</v>
      </c>
      <c r="E2981" s="123" t="s">
        <v>414</v>
      </c>
      <c r="F2981" s="123" t="s">
        <v>368</v>
      </c>
      <c r="G2981" s="124">
        <v>0.1</v>
      </c>
      <c r="H2981" s="125">
        <f>VLOOKUP(D2981,Upah,8,FALSE)</f>
        <v>150000</v>
      </c>
      <c r="I2981" s="126">
        <f>G2981*H2981</f>
        <v>15000</v>
      </c>
    </row>
    <row r="2982" spans="2:10" ht="15.95" customHeight="1" x14ac:dyDescent="0.25">
      <c r="C2982" s="122"/>
      <c r="D2982" s="117" t="s">
        <v>371</v>
      </c>
      <c r="E2982" s="123" t="s">
        <v>372</v>
      </c>
      <c r="F2982" s="123" t="s">
        <v>368</v>
      </c>
      <c r="G2982" s="124">
        <v>0.01</v>
      </c>
      <c r="H2982" s="125">
        <f>VLOOKUP(D2982,Upah,8,FALSE)</f>
        <v>165000</v>
      </c>
      <c r="I2982" s="126">
        <f>G2982*H2982</f>
        <v>1650</v>
      </c>
    </row>
    <row r="2983" spans="2:10" ht="15.95" customHeight="1" thickBot="1" x14ac:dyDescent="0.3">
      <c r="C2983" s="122"/>
      <c r="D2983" s="117" t="s">
        <v>373</v>
      </c>
      <c r="E2983" s="123" t="s">
        <v>374</v>
      </c>
      <c r="F2983" s="123" t="s">
        <v>368</v>
      </c>
      <c r="G2983" s="124">
        <v>1.4999999999999999E-2</v>
      </c>
      <c r="H2983" s="125">
        <f>VLOOKUP(D2983,Upah,8,FALSE)</f>
        <v>170000</v>
      </c>
      <c r="I2983" s="126">
        <f>G2983*H2983</f>
        <v>2550</v>
      </c>
    </row>
    <row r="2984" spans="2:10" ht="15.95" customHeight="1" thickBot="1" x14ac:dyDescent="0.3">
      <c r="C2984" s="132"/>
      <c r="D2984" s="133"/>
      <c r="E2984" s="134"/>
      <c r="F2984" s="134"/>
      <c r="G2984" s="135" t="s">
        <v>375</v>
      </c>
      <c r="H2984" s="136"/>
      <c r="I2984" s="137">
        <f>SUM(I2980:I2983)</f>
        <v>56700</v>
      </c>
    </row>
    <row r="2985" spans="2:10" ht="15.95" customHeight="1" x14ac:dyDescent="0.25">
      <c r="C2985" s="116" t="s">
        <v>376</v>
      </c>
      <c r="D2985" s="117" t="s">
        <v>377</v>
      </c>
      <c r="E2985" s="118"/>
      <c r="F2985" s="118"/>
      <c r="G2985" s="165"/>
      <c r="H2985" s="144"/>
      <c r="I2985" s="126"/>
    </row>
    <row r="2986" spans="2:10" ht="15.95" customHeight="1" x14ac:dyDescent="0.25">
      <c r="C2986" s="122"/>
      <c r="D2986" s="117" t="s">
        <v>871</v>
      </c>
      <c r="E2986" s="118"/>
      <c r="F2986" s="123" t="s">
        <v>130</v>
      </c>
      <c r="G2986" s="124">
        <v>30</v>
      </c>
      <c r="H2986" s="144">
        <f>VLOOKUP(D2986,Bahan,6,FALSE)</f>
        <v>1820</v>
      </c>
      <c r="I2986" s="126">
        <f>G2986*H2986</f>
        <v>54600</v>
      </c>
    </row>
    <row r="2987" spans="2:10" ht="15.95" customHeight="1" x14ac:dyDescent="0.25">
      <c r="C2987" s="122"/>
      <c r="D2987" s="117" t="s">
        <v>380</v>
      </c>
      <c r="E2987" s="118"/>
      <c r="F2987" s="123" t="s">
        <v>159</v>
      </c>
      <c r="G2987" s="124">
        <v>11</v>
      </c>
      <c r="H2987" s="144">
        <f>VLOOKUP(D2987,Bahan,6,FALSE)</f>
        <v>1880</v>
      </c>
      <c r="I2987" s="126">
        <f>G2987*H2987</f>
        <v>20680</v>
      </c>
    </row>
    <row r="2988" spans="2:10" ht="15.95" customHeight="1" thickBot="1" x14ac:dyDescent="0.3">
      <c r="C2988" s="122"/>
      <c r="D2988" s="117" t="s">
        <v>493</v>
      </c>
      <c r="E2988" s="118"/>
      <c r="F2988" s="123" t="s">
        <v>158</v>
      </c>
      <c r="G2988" s="124">
        <v>3.5000000000000003E-2</v>
      </c>
      <c r="H2988" s="144">
        <f>VLOOKUP(D2988,Bahan,6,FALSE)</f>
        <v>253510</v>
      </c>
      <c r="I2988" s="126">
        <f>G2988*H2988</f>
        <v>8872.85</v>
      </c>
    </row>
    <row r="2989" spans="2:10" ht="15.95" customHeight="1" thickBot="1" x14ac:dyDescent="0.3">
      <c r="C2989" s="132"/>
      <c r="D2989" s="133"/>
      <c r="E2989" s="134"/>
      <c r="F2989" s="134"/>
      <c r="G2989" s="135" t="s">
        <v>386</v>
      </c>
      <c r="H2989" s="136"/>
      <c r="I2989" s="137">
        <f>SUM(I2986:I2988)</f>
        <v>84152.85</v>
      </c>
    </row>
    <row r="2990" spans="2:10" ht="15.95" customHeight="1" thickBot="1" x14ac:dyDescent="0.3">
      <c r="C2990" s="116" t="s">
        <v>387</v>
      </c>
      <c r="D2990" s="117" t="s">
        <v>388</v>
      </c>
      <c r="E2990" s="118"/>
      <c r="F2990" s="118"/>
      <c r="G2990" s="165"/>
      <c r="H2990" s="144">
        <f>IF(AND(D2990&lt;&gt;"",F2990&lt;&gt;""),IF(C2990="",IF(F2990="OH",VLOOKUP(D2990,[1]UPAH!$B$3:$G$32,7,0),VLOOKUP(D2990,[1]BAHAN!$A$2:$D$3,4,0)),0),0)</f>
        <v>0</v>
      </c>
      <c r="I2990" s="126">
        <f>G2990*H2990</f>
        <v>0</v>
      </c>
    </row>
    <row r="2991" spans="2:10" ht="15.95" customHeight="1" thickBot="1" x14ac:dyDescent="0.3">
      <c r="C2991" s="132"/>
      <c r="D2991" s="133"/>
      <c r="E2991" s="134"/>
      <c r="F2991" s="134"/>
      <c r="G2991" s="135" t="s">
        <v>389</v>
      </c>
      <c r="H2991" s="136"/>
      <c r="I2991" s="137">
        <f>I2990</f>
        <v>0</v>
      </c>
    </row>
    <row r="2992" spans="2:10" ht="15.95" customHeight="1" x14ac:dyDescent="0.25">
      <c r="C2992" s="158" t="s">
        <v>390</v>
      </c>
      <c r="D2992" s="159" t="s">
        <v>391</v>
      </c>
      <c r="E2992" s="160"/>
      <c r="F2992" s="160"/>
      <c r="G2992" s="161"/>
      <c r="H2992" s="162">
        <f>IF(AND(D2992&lt;&gt;"",F2992&lt;&gt;""),IF(C2992="",IF(F2992="OH",VLOOKUP(D2992,[1]UPAH!$B$3:$G$32,7,0),VLOOKUP(D2992,[1]BAHAN!$A$2:$D$3,4,0)),0),0)</f>
        <v>0</v>
      </c>
      <c r="I2992" s="126">
        <f>SUM(I2980:I2991)/2</f>
        <v>140852.85</v>
      </c>
    </row>
    <row r="2993" spans="2:10" ht="15.95" customHeight="1" thickBot="1" x14ac:dyDescent="0.3">
      <c r="C2993" s="147" t="s">
        <v>392</v>
      </c>
      <c r="D2993" s="148" t="s">
        <v>393</v>
      </c>
      <c r="E2993" s="149"/>
      <c r="F2993" s="149"/>
      <c r="G2993" s="164">
        <v>0.1</v>
      </c>
      <c r="H2993" s="151"/>
      <c r="I2993" s="146">
        <f>G2993*I2992</f>
        <v>14085.285000000002</v>
      </c>
    </row>
    <row r="2994" spans="2:10" ht="15.95" customHeight="1" thickBot="1" x14ac:dyDescent="0.3">
      <c r="C2994" s="111" t="s">
        <v>394</v>
      </c>
      <c r="D2994" s="112" t="s">
        <v>395</v>
      </c>
      <c r="E2994" s="134"/>
      <c r="F2994" s="134"/>
      <c r="G2994" s="156"/>
      <c r="H2994" s="136">
        <f>IF(AND(D2994&lt;&gt;"",F2994&lt;&gt;""),IF(C2994="",IF(F2994="OH",VLOOKUP(D2994,[1]UPAH!$B$3:$G$32,7,0),VLOOKUP(D2994,[1]BAHAN!$A$2:$D$3,4,0)),0),0)</f>
        <v>0</v>
      </c>
      <c r="I2994" s="137">
        <f>ROUNDDOWN(I2992+I2993,0)</f>
        <v>154938</v>
      </c>
    </row>
    <row r="2995" spans="2:10" ht="15.95" customHeight="1" x14ac:dyDescent="0.25">
      <c r="C2995" s="109"/>
      <c r="D2995" s="109"/>
      <c r="G2995" s="157"/>
    </row>
    <row r="2996" spans="2:10" ht="15.95" customHeight="1" thickBot="1" x14ac:dyDescent="0.3">
      <c r="B2996" s="104" t="s">
        <v>872</v>
      </c>
      <c r="C2996" s="104" t="s">
        <v>873</v>
      </c>
      <c r="G2996" s="157"/>
      <c r="J2996" s="110">
        <f>I3013</f>
        <v>175623</v>
      </c>
    </row>
    <row r="2997" spans="2:10" ht="15.95" customHeight="1" thickBot="1" x14ac:dyDescent="0.3">
      <c r="C2997" s="111" t="s">
        <v>328</v>
      </c>
      <c r="D2997" s="112" t="s">
        <v>359</v>
      </c>
      <c r="E2997" s="113" t="s">
        <v>360</v>
      </c>
      <c r="F2997" s="113" t="s">
        <v>330</v>
      </c>
      <c r="G2997" s="114" t="s">
        <v>361</v>
      </c>
      <c r="H2997" s="112" t="s">
        <v>362</v>
      </c>
      <c r="I2997" s="115" t="s">
        <v>363</v>
      </c>
    </row>
    <row r="2998" spans="2:10" ht="15.95" customHeight="1" x14ac:dyDescent="0.25">
      <c r="C2998" s="116" t="s">
        <v>364</v>
      </c>
      <c r="D2998" s="117" t="s">
        <v>365</v>
      </c>
      <c r="E2998" s="118"/>
      <c r="F2998" s="118"/>
      <c r="G2998" s="165"/>
      <c r="H2998" s="144"/>
      <c r="I2998" s="126"/>
    </row>
    <row r="2999" spans="2:10" ht="15.95" customHeight="1" x14ac:dyDescent="0.25">
      <c r="C2999" s="122"/>
      <c r="D2999" s="117" t="s">
        <v>366</v>
      </c>
      <c r="E2999" s="123" t="s">
        <v>367</v>
      </c>
      <c r="F2999" s="123" t="s">
        <v>368</v>
      </c>
      <c r="G2999" s="124">
        <v>0.3</v>
      </c>
      <c r="H2999" s="125">
        <f>VLOOKUP(D2999,Upah,8,FALSE)</f>
        <v>125000</v>
      </c>
      <c r="I2999" s="126">
        <f>G2999*H2999</f>
        <v>37500</v>
      </c>
    </row>
    <row r="3000" spans="2:10" ht="15.95" customHeight="1" x14ac:dyDescent="0.25">
      <c r="C3000" s="122"/>
      <c r="D3000" s="117" t="s">
        <v>505</v>
      </c>
      <c r="E3000" s="123" t="s">
        <v>414</v>
      </c>
      <c r="F3000" s="123" t="s">
        <v>368</v>
      </c>
      <c r="G3000" s="124">
        <v>0.15</v>
      </c>
      <c r="H3000" s="125">
        <f>VLOOKUP(D3000,Upah,8,FALSE)</f>
        <v>150000</v>
      </c>
      <c r="I3000" s="126">
        <f>G3000*H3000</f>
        <v>22500</v>
      </c>
    </row>
    <row r="3001" spans="2:10" ht="15.95" customHeight="1" x14ac:dyDescent="0.25">
      <c r="C3001" s="122"/>
      <c r="D3001" s="117" t="s">
        <v>371</v>
      </c>
      <c r="E3001" s="123" t="s">
        <v>372</v>
      </c>
      <c r="F3001" s="123" t="s">
        <v>368</v>
      </c>
      <c r="G3001" s="124">
        <v>1.4999999999999999E-2</v>
      </c>
      <c r="H3001" s="125">
        <f>VLOOKUP(D3001,Upah,8,FALSE)</f>
        <v>165000</v>
      </c>
      <c r="I3001" s="126">
        <f>G3001*H3001</f>
        <v>2475</v>
      </c>
    </row>
    <row r="3002" spans="2:10" ht="15.95" customHeight="1" thickBot="1" x14ac:dyDescent="0.3">
      <c r="C3002" s="122"/>
      <c r="D3002" s="117" t="s">
        <v>373</v>
      </c>
      <c r="E3002" s="123" t="s">
        <v>374</v>
      </c>
      <c r="F3002" s="123" t="s">
        <v>368</v>
      </c>
      <c r="G3002" s="124">
        <v>1.4999999999999999E-2</v>
      </c>
      <c r="H3002" s="125">
        <f>VLOOKUP(D3002,Upah,8,FALSE)</f>
        <v>170000</v>
      </c>
      <c r="I3002" s="126">
        <f>G3002*H3002</f>
        <v>2550</v>
      </c>
    </row>
    <row r="3003" spans="2:10" ht="15.95" customHeight="1" thickBot="1" x14ac:dyDescent="0.3">
      <c r="C3003" s="132"/>
      <c r="D3003" s="133"/>
      <c r="E3003" s="134"/>
      <c r="F3003" s="134"/>
      <c r="G3003" s="135" t="s">
        <v>375</v>
      </c>
      <c r="H3003" s="136"/>
      <c r="I3003" s="137">
        <f>SUM(I2999:I3002)</f>
        <v>65025</v>
      </c>
    </row>
    <row r="3004" spans="2:10" ht="15.95" customHeight="1" x14ac:dyDescent="0.25">
      <c r="C3004" s="116" t="s">
        <v>376</v>
      </c>
      <c r="D3004" s="117" t="s">
        <v>377</v>
      </c>
      <c r="E3004" s="118"/>
      <c r="F3004" s="118"/>
      <c r="G3004" s="165"/>
      <c r="H3004" s="144"/>
      <c r="I3004" s="126"/>
    </row>
    <row r="3005" spans="2:10" ht="15.95" customHeight="1" x14ac:dyDescent="0.25">
      <c r="C3005" s="122"/>
      <c r="D3005" s="117" t="s">
        <v>868</v>
      </c>
      <c r="E3005" s="118"/>
      <c r="F3005" s="123" t="s">
        <v>130</v>
      </c>
      <c r="G3005" s="124">
        <v>70</v>
      </c>
      <c r="H3005" s="144">
        <f>VLOOKUP(D3005,Bahan,6,FALSE)</f>
        <v>860</v>
      </c>
      <c r="I3005" s="126">
        <f>G3005*H3005</f>
        <v>60200</v>
      </c>
    </row>
    <row r="3006" spans="2:10" ht="15.95" customHeight="1" x14ac:dyDescent="0.25">
      <c r="C3006" s="122"/>
      <c r="D3006" s="117" t="s">
        <v>380</v>
      </c>
      <c r="E3006" s="118"/>
      <c r="F3006" s="123" t="s">
        <v>159</v>
      </c>
      <c r="G3006" s="124">
        <v>14</v>
      </c>
      <c r="H3006" s="144">
        <f>VLOOKUP(D3006,Bahan,6,FALSE)</f>
        <v>1880</v>
      </c>
      <c r="I3006" s="126">
        <f>G3006*H3006</f>
        <v>26320</v>
      </c>
    </row>
    <row r="3007" spans="2:10" ht="15.95" customHeight="1" thickBot="1" x14ac:dyDescent="0.3">
      <c r="C3007" s="122"/>
      <c r="D3007" s="117" t="s">
        <v>493</v>
      </c>
      <c r="E3007" s="118"/>
      <c r="F3007" s="123" t="s">
        <v>158</v>
      </c>
      <c r="G3007" s="124">
        <v>3.2000000000000001E-2</v>
      </c>
      <c r="H3007" s="144">
        <f>VLOOKUP(D3007,Bahan,6,FALSE)</f>
        <v>253510</v>
      </c>
      <c r="I3007" s="126">
        <f>G3007*H3007</f>
        <v>8112.3200000000006</v>
      </c>
    </row>
    <row r="3008" spans="2:10" ht="15.95" customHeight="1" thickBot="1" x14ac:dyDescent="0.3">
      <c r="C3008" s="132"/>
      <c r="D3008" s="133"/>
      <c r="E3008" s="134"/>
      <c r="F3008" s="134"/>
      <c r="G3008" s="135" t="s">
        <v>386</v>
      </c>
      <c r="H3008" s="136"/>
      <c r="I3008" s="137">
        <f>SUM(I3005:I3007)</f>
        <v>94632.320000000007</v>
      </c>
    </row>
    <row r="3009" spans="2:10" ht="15.95" customHeight="1" thickBot="1" x14ac:dyDescent="0.3">
      <c r="C3009" s="116" t="s">
        <v>387</v>
      </c>
      <c r="D3009" s="117" t="s">
        <v>388</v>
      </c>
      <c r="E3009" s="118"/>
      <c r="F3009" s="118"/>
      <c r="G3009" s="165"/>
      <c r="H3009" s="144">
        <f>IF(AND(D3009&lt;&gt;"",F3009&lt;&gt;""),IF(C3009="",IF(F3009="OH",VLOOKUP(D3009,[1]UPAH!$B$3:$G$32,7,0),VLOOKUP(D3009,[1]BAHAN!$A$2:$D$3,4,0)),0),0)</f>
        <v>0</v>
      </c>
      <c r="I3009" s="126">
        <f>G3009*H3009</f>
        <v>0</v>
      </c>
    </row>
    <row r="3010" spans="2:10" ht="15.95" customHeight="1" thickBot="1" x14ac:dyDescent="0.3">
      <c r="C3010" s="132"/>
      <c r="D3010" s="133"/>
      <c r="E3010" s="134"/>
      <c r="F3010" s="134"/>
      <c r="G3010" s="135" t="s">
        <v>389</v>
      </c>
      <c r="H3010" s="136"/>
      <c r="I3010" s="137">
        <f>I3009</f>
        <v>0</v>
      </c>
    </row>
    <row r="3011" spans="2:10" ht="15.95" customHeight="1" x14ac:dyDescent="0.25">
      <c r="C3011" s="158" t="s">
        <v>390</v>
      </c>
      <c r="D3011" s="159" t="s">
        <v>391</v>
      </c>
      <c r="E3011" s="160"/>
      <c r="F3011" s="160"/>
      <c r="G3011" s="161"/>
      <c r="H3011" s="162">
        <f>IF(AND(D3011&lt;&gt;"",F3011&lt;&gt;""),IF(C3011="",IF(F3011="OH",VLOOKUP(D3011,[1]UPAH!$B$3:$G$32,7,0),VLOOKUP(D3011,[1]BAHAN!$A$2:$D$3,4,0)),0),0)</f>
        <v>0</v>
      </c>
      <c r="I3011" s="126">
        <f>SUM(I2999:I3010)/2</f>
        <v>159657.32</v>
      </c>
    </row>
    <row r="3012" spans="2:10" ht="15.95" customHeight="1" thickBot="1" x14ac:dyDescent="0.3">
      <c r="C3012" s="147" t="s">
        <v>392</v>
      </c>
      <c r="D3012" s="148" t="s">
        <v>393</v>
      </c>
      <c r="E3012" s="149"/>
      <c r="F3012" s="149"/>
      <c r="G3012" s="164">
        <v>0.1</v>
      </c>
      <c r="H3012" s="151"/>
      <c r="I3012" s="146">
        <f>G3012*I3011</f>
        <v>15965.732000000002</v>
      </c>
    </row>
    <row r="3013" spans="2:10" ht="15.95" customHeight="1" thickBot="1" x14ac:dyDescent="0.3">
      <c r="C3013" s="111" t="s">
        <v>394</v>
      </c>
      <c r="D3013" s="112" t="s">
        <v>395</v>
      </c>
      <c r="E3013" s="134"/>
      <c r="F3013" s="134"/>
      <c r="G3013" s="156"/>
      <c r="H3013" s="136">
        <f>IF(AND(D3013&lt;&gt;"",F3013&lt;&gt;""),IF(C3013="",IF(F3013="OH",VLOOKUP(D3013,[1]UPAH!$B$3:$G$32,7,0),VLOOKUP(D3013,[1]BAHAN!$A$2:$D$3,4,0)),0),0)</f>
        <v>0</v>
      </c>
      <c r="I3013" s="137">
        <f>ROUNDDOWN(I3011+I3012,0)</f>
        <v>175623</v>
      </c>
    </row>
    <row r="3014" spans="2:10" ht="15.95" customHeight="1" x14ac:dyDescent="0.25">
      <c r="C3014" s="109"/>
      <c r="D3014" s="109"/>
      <c r="G3014" s="157"/>
      <c r="H3014" s="166"/>
      <c r="I3014" s="110"/>
    </row>
    <row r="3015" spans="2:10" ht="15.95" customHeight="1" thickBot="1" x14ac:dyDescent="0.3">
      <c r="B3015" s="174" t="s">
        <v>874</v>
      </c>
      <c r="C3015" s="104" t="s">
        <v>875</v>
      </c>
      <c r="D3015" s="109"/>
      <c r="G3015" s="157"/>
      <c r="H3015" s="166"/>
      <c r="I3015" s="110"/>
      <c r="J3015" s="110">
        <f>I3032</f>
        <v>118002</v>
      </c>
    </row>
    <row r="3016" spans="2:10" ht="15.95" customHeight="1" thickBot="1" x14ac:dyDescent="0.3">
      <c r="C3016" s="111" t="s">
        <v>328</v>
      </c>
      <c r="D3016" s="112" t="s">
        <v>359</v>
      </c>
      <c r="E3016" s="113" t="s">
        <v>360</v>
      </c>
      <c r="F3016" s="113" t="s">
        <v>330</v>
      </c>
      <c r="G3016" s="114" t="s">
        <v>361</v>
      </c>
      <c r="H3016" s="112" t="s">
        <v>362</v>
      </c>
      <c r="I3016" s="115" t="s">
        <v>363</v>
      </c>
    </row>
    <row r="3017" spans="2:10" ht="15.95" customHeight="1" x14ac:dyDescent="0.25">
      <c r="C3017" s="116" t="s">
        <v>364</v>
      </c>
      <c r="D3017" s="117" t="s">
        <v>365</v>
      </c>
      <c r="E3017" s="118"/>
      <c r="F3017" s="118"/>
      <c r="G3017" s="165"/>
      <c r="H3017" s="144"/>
      <c r="I3017" s="126"/>
    </row>
    <row r="3018" spans="2:10" ht="15.95" customHeight="1" x14ac:dyDescent="0.25">
      <c r="C3018" s="122"/>
      <c r="D3018" s="117" t="s">
        <v>366</v>
      </c>
      <c r="E3018" s="123" t="s">
        <v>367</v>
      </c>
      <c r="F3018" s="123" t="s">
        <v>368</v>
      </c>
      <c r="G3018" s="230">
        <v>0.35</v>
      </c>
      <c r="H3018" s="125">
        <f>VLOOKUP(D3018,Upah,8,FALSE)</f>
        <v>125000</v>
      </c>
      <c r="I3018" s="126">
        <f>G3018*H3018</f>
        <v>43750</v>
      </c>
    </row>
    <row r="3019" spans="2:10" ht="15.95" customHeight="1" x14ac:dyDescent="0.25">
      <c r="C3019" s="122"/>
      <c r="D3019" s="117" t="s">
        <v>505</v>
      </c>
      <c r="E3019" s="123" t="s">
        <v>414</v>
      </c>
      <c r="F3019" s="123" t="s">
        <v>368</v>
      </c>
      <c r="G3019" s="230">
        <v>0.13</v>
      </c>
      <c r="H3019" s="125">
        <f>VLOOKUP(D3019,Upah,8,FALSE)</f>
        <v>150000</v>
      </c>
      <c r="I3019" s="126">
        <f>G3019*H3019</f>
        <v>19500</v>
      </c>
    </row>
    <row r="3020" spans="2:10" ht="15.95" customHeight="1" x14ac:dyDescent="0.25">
      <c r="C3020" s="122"/>
      <c r="D3020" s="117" t="s">
        <v>371</v>
      </c>
      <c r="E3020" s="123" t="s">
        <v>372</v>
      </c>
      <c r="F3020" s="123" t="s">
        <v>368</v>
      </c>
      <c r="G3020" s="230">
        <v>1.2999999999999999E-2</v>
      </c>
      <c r="H3020" s="125">
        <f>VLOOKUP(D3020,Upah,8,FALSE)</f>
        <v>165000</v>
      </c>
      <c r="I3020" s="126">
        <f>G3020*H3020</f>
        <v>2145</v>
      </c>
    </row>
    <row r="3021" spans="2:10" ht="15.95" customHeight="1" thickBot="1" x14ac:dyDescent="0.3">
      <c r="C3021" s="127"/>
      <c r="D3021" s="128" t="s">
        <v>373</v>
      </c>
      <c r="E3021" s="129" t="s">
        <v>374</v>
      </c>
      <c r="F3021" s="129" t="s">
        <v>368</v>
      </c>
      <c r="G3021" s="231">
        <v>3.0000000000000001E-3</v>
      </c>
      <c r="H3021" s="125">
        <f>VLOOKUP(D3021,Upah,8,FALSE)</f>
        <v>170000</v>
      </c>
      <c r="I3021" s="146">
        <f>G3021*H3021</f>
        <v>510</v>
      </c>
    </row>
    <row r="3022" spans="2:10" ht="15.95" customHeight="1" thickBot="1" x14ac:dyDescent="0.3">
      <c r="C3022" s="132"/>
      <c r="D3022" s="133"/>
      <c r="E3022" s="134"/>
      <c r="F3022" s="134"/>
      <c r="G3022" s="135" t="s">
        <v>375</v>
      </c>
      <c r="H3022" s="136"/>
      <c r="I3022" s="137">
        <f>SUM(I3018:I3021)</f>
        <v>65905</v>
      </c>
    </row>
    <row r="3023" spans="2:10" ht="15.95" customHeight="1" x14ac:dyDescent="0.25">
      <c r="C3023" s="158" t="s">
        <v>376</v>
      </c>
      <c r="D3023" s="159" t="s">
        <v>377</v>
      </c>
      <c r="E3023" s="160"/>
      <c r="F3023" s="160"/>
      <c r="G3023" s="161"/>
      <c r="H3023" s="162"/>
      <c r="I3023" s="163"/>
    </row>
    <row r="3024" spans="2:10" ht="15.95" customHeight="1" x14ac:dyDescent="0.25">
      <c r="C3024" s="122"/>
      <c r="D3024" s="219" t="s">
        <v>876</v>
      </c>
      <c r="E3024" s="118"/>
      <c r="F3024" s="123" t="s">
        <v>158</v>
      </c>
      <c r="G3024" s="186">
        <v>7.4999999999999997E-2</v>
      </c>
      <c r="H3024" s="144">
        <f>VLOOKUP(D3024,Bahan,6,FALSE)</f>
        <v>9000</v>
      </c>
      <c r="I3024" s="126">
        <f>G3024*H3024</f>
        <v>675</v>
      </c>
    </row>
    <row r="3025" spans="2:10" ht="15.95" customHeight="1" thickBot="1" x14ac:dyDescent="0.3">
      <c r="C3025" s="177"/>
      <c r="D3025" s="224" t="s">
        <v>877</v>
      </c>
      <c r="E3025" s="179"/>
      <c r="F3025" s="180" t="s">
        <v>159</v>
      </c>
      <c r="G3025" s="232">
        <f>0.063*40*1.1</f>
        <v>2.7720000000000002</v>
      </c>
      <c r="H3025" s="144">
        <f>VLOOKUP(D3025,Bahan,6,FALSE)</f>
        <v>13970</v>
      </c>
      <c r="I3025" s="182">
        <f>G3025*H3025</f>
        <v>38724.840000000004</v>
      </c>
    </row>
    <row r="3026" spans="2:10" ht="15.95" customHeight="1" thickBot="1" x14ac:dyDescent="0.3">
      <c r="C3026" s="225"/>
      <c r="D3026" s="226"/>
      <c r="E3026" s="197"/>
      <c r="F3026" s="197"/>
      <c r="G3026" s="227" t="s">
        <v>386</v>
      </c>
      <c r="H3026" s="199"/>
      <c r="I3026" s="200">
        <f>SUM(I3024:I3025)</f>
        <v>39399.840000000004</v>
      </c>
    </row>
    <row r="3027" spans="2:10" ht="15.95" customHeight="1" x14ac:dyDescent="0.25">
      <c r="C3027" s="116" t="s">
        <v>387</v>
      </c>
      <c r="D3027" s="117" t="s">
        <v>388</v>
      </c>
      <c r="E3027" s="118"/>
      <c r="F3027" s="118"/>
      <c r="G3027" s="165"/>
      <c r="H3027" s="144"/>
      <c r="I3027" s="126"/>
    </row>
    <row r="3028" spans="2:10" ht="15.95" customHeight="1" thickBot="1" x14ac:dyDescent="0.3">
      <c r="C3028" s="147"/>
      <c r="D3028" s="148" t="s">
        <v>878</v>
      </c>
      <c r="E3028" s="149"/>
      <c r="F3028" s="149" t="s">
        <v>799</v>
      </c>
      <c r="G3028" s="150">
        <v>0.1</v>
      </c>
      <c r="H3028" s="144">
        <f>I3026</f>
        <v>39399.840000000004</v>
      </c>
      <c r="I3028" s="152">
        <f>G3028*H3028</f>
        <v>3939.9840000000004</v>
      </c>
    </row>
    <row r="3029" spans="2:10" ht="15.95" customHeight="1" thickBot="1" x14ac:dyDescent="0.3">
      <c r="C3029" s="132"/>
      <c r="D3029" s="133"/>
      <c r="E3029" s="134"/>
      <c r="F3029" s="134"/>
      <c r="G3029" s="135" t="s">
        <v>389</v>
      </c>
      <c r="H3029" s="136"/>
      <c r="I3029" s="137">
        <f>I3027</f>
        <v>0</v>
      </c>
    </row>
    <row r="3030" spans="2:10" ht="15.95" customHeight="1" x14ac:dyDescent="0.25">
      <c r="C3030" s="158" t="s">
        <v>390</v>
      </c>
      <c r="D3030" s="159" t="s">
        <v>391</v>
      </c>
      <c r="E3030" s="160"/>
      <c r="F3030" s="160"/>
      <c r="G3030" s="161"/>
      <c r="H3030" s="162">
        <f>IF(AND(D3030&lt;&gt;"",F3030&lt;&gt;""),IF(C3030="",IF(F3030="OH",VLOOKUP(D3030,[1]UPAH!$B$3:$G$32,7,0),VLOOKUP(D3030,[1]BAHAN!$A$2:$D$3,4,0)),0),0)</f>
        <v>0</v>
      </c>
      <c r="I3030" s="126">
        <f>SUM(I3018:I3029)/2</f>
        <v>107274.83199999999</v>
      </c>
    </row>
    <row r="3031" spans="2:10" ht="15.95" customHeight="1" thickBot="1" x14ac:dyDescent="0.3">
      <c r="C3031" s="147" t="s">
        <v>392</v>
      </c>
      <c r="D3031" s="148" t="s">
        <v>393</v>
      </c>
      <c r="E3031" s="149"/>
      <c r="F3031" s="149"/>
      <c r="G3031" s="164">
        <v>0.1</v>
      </c>
      <c r="H3031" s="151"/>
      <c r="I3031" s="146">
        <f>G3031*I3030</f>
        <v>10727.483200000001</v>
      </c>
    </row>
    <row r="3032" spans="2:10" ht="15.95" customHeight="1" thickBot="1" x14ac:dyDescent="0.3">
      <c r="C3032" s="111" t="s">
        <v>394</v>
      </c>
      <c r="D3032" s="112" t="s">
        <v>395</v>
      </c>
      <c r="E3032" s="134"/>
      <c r="F3032" s="134"/>
      <c r="G3032" s="156"/>
      <c r="H3032" s="136">
        <f>IF(AND(D3032&lt;&gt;"",F3032&lt;&gt;""),IF(C3032="",IF(F3032="OH",VLOOKUP(D3032,[1]UPAH!$B$3:$G$32,7,0),VLOOKUP(D3032,[1]BAHAN!$A$2:$D$3,4,0)),0),0)</f>
        <v>0</v>
      </c>
      <c r="I3032" s="137">
        <f>ROUNDDOWN(I3030+I3031,0)</f>
        <v>118002</v>
      </c>
    </row>
    <row r="3033" spans="2:10" ht="15.95" customHeight="1" x14ac:dyDescent="0.25">
      <c r="C3033" s="109"/>
      <c r="D3033" s="109"/>
      <c r="G3033" s="157"/>
      <c r="H3033" s="166"/>
      <c r="I3033" s="110"/>
    </row>
    <row r="3034" spans="2:10" ht="15.95" customHeight="1" thickBot="1" x14ac:dyDescent="0.3">
      <c r="B3034" s="174" t="s">
        <v>879</v>
      </c>
      <c r="C3034" s="109" t="s">
        <v>880</v>
      </c>
      <c r="D3034" s="109"/>
      <c r="G3034" s="157"/>
      <c r="H3034" s="166"/>
      <c r="I3034" s="110"/>
      <c r="J3034" s="110">
        <f>I3051</f>
        <v>144530</v>
      </c>
    </row>
    <row r="3035" spans="2:10" ht="15.95" customHeight="1" thickBot="1" x14ac:dyDescent="0.3">
      <c r="C3035" s="111" t="s">
        <v>328</v>
      </c>
      <c r="D3035" s="112" t="s">
        <v>359</v>
      </c>
      <c r="E3035" s="113" t="s">
        <v>360</v>
      </c>
      <c r="F3035" s="113" t="s">
        <v>330</v>
      </c>
      <c r="G3035" s="114" t="s">
        <v>361</v>
      </c>
      <c r="H3035" s="112" t="s">
        <v>362</v>
      </c>
      <c r="I3035" s="115" t="s">
        <v>363</v>
      </c>
    </row>
    <row r="3036" spans="2:10" ht="15.95" customHeight="1" x14ac:dyDescent="0.25">
      <c r="C3036" s="116" t="s">
        <v>364</v>
      </c>
      <c r="D3036" s="117" t="s">
        <v>365</v>
      </c>
      <c r="E3036" s="118"/>
      <c r="F3036" s="118"/>
      <c r="G3036" s="165"/>
      <c r="H3036" s="144"/>
      <c r="I3036" s="126"/>
    </row>
    <row r="3037" spans="2:10" ht="15.95" customHeight="1" x14ac:dyDescent="0.25">
      <c r="C3037" s="122"/>
      <c r="D3037" s="117" t="s">
        <v>366</v>
      </c>
      <c r="E3037" s="123" t="s">
        <v>367</v>
      </c>
      <c r="F3037" s="123" t="s">
        <v>368</v>
      </c>
      <c r="G3037" s="230">
        <v>0.35</v>
      </c>
      <c r="H3037" s="125">
        <f>VLOOKUP(D3037,Upah,8,FALSE)</f>
        <v>125000</v>
      </c>
      <c r="I3037" s="126">
        <f>G3037*H3037</f>
        <v>43750</v>
      </c>
    </row>
    <row r="3038" spans="2:10" ht="15.95" customHeight="1" x14ac:dyDescent="0.25">
      <c r="C3038" s="122"/>
      <c r="D3038" s="117" t="s">
        <v>505</v>
      </c>
      <c r="E3038" s="123" t="s">
        <v>414</v>
      </c>
      <c r="F3038" s="123" t="s">
        <v>368</v>
      </c>
      <c r="G3038" s="230">
        <v>0.13</v>
      </c>
      <c r="H3038" s="125">
        <f>VLOOKUP(D3038,Upah,8,FALSE)</f>
        <v>150000</v>
      </c>
      <c r="I3038" s="126">
        <f>G3038*H3038</f>
        <v>19500</v>
      </c>
    </row>
    <row r="3039" spans="2:10" ht="15.95" customHeight="1" x14ac:dyDescent="0.25">
      <c r="C3039" s="122"/>
      <c r="D3039" s="117" t="s">
        <v>371</v>
      </c>
      <c r="E3039" s="123" t="s">
        <v>372</v>
      </c>
      <c r="F3039" s="123" t="s">
        <v>368</v>
      </c>
      <c r="G3039" s="230">
        <v>1.2999999999999999E-2</v>
      </c>
      <c r="H3039" s="125">
        <f>VLOOKUP(D3039,Upah,8,FALSE)</f>
        <v>165000</v>
      </c>
      <c r="I3039" s="126">
        <f>G3039*H3039</f>
        <v>2145</v>
      </c>
    </row>
    <row r="3040" spans="2:10" ht="15.95" customHeight="1" thickBot="1" x14ac:dyDescent="0.3">
      <c r="C3040" s="127"/>
      <c r="D3040" s="128" t="s">
        <v>373</v>
      </c>
      <c r="E3040" s="129" t="s">
        <v>374</v>
      </c>
      <c r="F3040" s="129" t="s">
        <v>368</v>
      </c>
      <c r="G3040" s="231">
        <v>3.0000000000000001E-3</v>
      </c>
      <c r="H3040" s="125">
        <f>VLOOKUP(D3040,Upah,8,FALSE)</f>
        <v>170000</v>
      </c>
      <c r="I3040" s="146">
        <f>G3040*H3040</f>
        <v>510</v>
      </c>
    </row>
    <row r="3041" spans="1:10" ht="15.95" customHeight="1" thickBot="1" x14ac:dyDescent="0.3">
      <c r="C3041" s="132"/>
      <c r="D3041" s="133"/>
      <c r="E3041" s="134"/>
      <c r="F3041" s="134"/>
      <c r="G3041" s="135" t="s">
        <v>375</v>
      </c>
      <c r="H3041" s="136"/>
      <c r="I3041" s="137">
        <f>SUM(I3037:I3040)</f>
        <v>65905</v>
      </c>
    </row>
    <row r="3042" spans="1:10" ht="15.95" customHeight="1" x14ac:dyDescent="0.25">
      <c r="C3042" s="158" t="s">
        <v>376</v>
      </c>
      <c r="D3042" s="159" t="s">
        <v>377</v>
      </c>
      <c r="E3042" s="160"/>
      <c r="F3042" s="160"/>
      <c r="G3042" s="161"/>
      <c r="H3042" s="162"/>
      <c r="I3042" s="163"/>
    </row>
    <row r="3043" spans="1:10" ht="15.95" customHeight="1" x14ac:dyDescent="0.25">
      <c r="C3043" s="122"/>
      <c r="D3043" s="219" t="s">
        <v>876</v>
      </c>
      <c r="E3043" s="118"/>
      <c r="F3043" s="123" t="s">
        <v>158</v>
      </c>
      <c r="G3043" s="186">
        <v>0.1</v>
      </c>
      <c r="H3043" s="144">
        <f>VLOOKUP(D3043,Bahan,6,FALSE)</f>
        <v>9000</v>
      </c>
      <c r="I3043" s="126">
        <f>G3043*H3043</f>
        <v>900</v>
      </c>
    </row>
    <row r="3044" spans="1:10" ht="15.95" customHeight="1" thickBot="1" x14ac:dyDescent="0.3">
      <c r="C3044" s="177"/>
      <c r="D3044" s="224" t="s">
        <v>877</v>
      </c>
      <c r="E3044" s="179"/>
      <c r="F3044" s="180" t="s">
        <v>159</v>
      </c>
      <c r="G3044" s="232">
        <v>4.4000000000000004</v>
      </c>
      <c r="H3044" s="144">
        <f>VLOOKUP(D3044,Bahan,6,FALSE)</f>
        <v>13970</v>
      </c>
      <c r="I3044" s="182">
        <f>G3044*H3044</f>
        <v>61468.000000000007</v>
      </c>
    </row>
    <row r="3045" spans="1:10" ht="15.95" customHeight="1" thickBot="1" x14ac:dyDescent="0.3">
      <c r="C3045" s="225"/>
      <c r="D3045" s="226"/>
      <c r="E3045" s="197"/>
      <c r="F3045" s="197"/>
      <c r="G3045" s="227" t="s">
        <v>386</v>
      </c>
      <c r="H3045" s="199"/>
      <c r="I3045" s="200">
        <f>SUM(I3043:I3044)</f>
        <v>62368.000000000007</v>
      </c>
    </row>
    <row r="3046" spans="1:10" ht="15.95" customHeight="1" x14ac:dyDescent="0.25">
      <c r="C3046" s="116" t="s">
        <v>387</v>
      </c>
      <c r="D3046" s="117" t="s">
        <v>388</v>
      </c>
      <c r="E3046" s="118"/>
      <c r="F3046" s="118"/>
      <c r="G3046" s="165"/>
      <c r="H3046" s="144"/>
      <c r="I3046" s="126"/>
    </row>
    <row r="3047" spans="1:10" ht="15.95" customHeight="1" thickBot="1" x14ac:dyDescent="0.3">
      <c r="C3047" s="147"/>
      <c r="D3047" s="148" t="s">
        <v>878</v>
      </c>
      <c r="E3047" s="149"/>
      <c r="F3047" s="149" t="s">
        <v>799</v>
      </c>
      <c r="G3047" s="150">
        <v>0.1</v>
      </c>
      <c r="H3047" s="144">
        <f>I3045</f>
        <v>62368.000000000007</v>
      </c>
      <c r="I3047" s="152">
        <f>G3047*H3047</f>
        <v>6236.8000000000011</v>
      </c>
    </row>
    <row r="3048" spans="1:10" ht="15.95" customHeight="1" thickBot="1" x14ac:dyDescent="0.3">
      <c r="C3048" s="132"/>
      <c r="D3048" s="133"/>
      <c r="E3048" s="134"/>
      <c r="F3048" s="134"/>
      <c r="G3048" s="135" t="s">
        <v>389</v>
      </c>
      <c r="H3048" s="136"/>
      <c r="I3048" s="137">
        <f>I3046</f>
        <v>0</v>
      </c>
    </row>
    <row r="3049" spans="1:10" ht="15.95" customHeight="1" x14ac:dyDescent="0.25">
      <c r="C3049" s="158" t="s">
        <v>390</v>
      </c>
      <c r="D3049" s="159" t="s">
        <v>391</v>
      </c>
      <c r="E3049" s="160"/>
      <c r="F3049" s="160"/>
      <c r="G3049" s="161"/>
      <c r="H3049" s="162">
        <f>IF(AND(D3049&lt;&gt;"",F3049&lt;&gt;""),IF(C3049="",IF(F3049="OH",VLOOKUP(D3049,[1]UPAH!$B$3:$G$32,7,0),VLOOKUP(D3049,[1]BAHAN!$A$2:$D$3,4,0)),0),0)</f>
        <v>0</v>
      </c>
      <c r="I3049" s="126">
        <f>SUM(I3037:I3048)/2</f>
        <v>131391.4</v>
      </c>
    </row>
    <row r="3050" spans="1:10" ht="15.95" customHeight="1" thickBot="1" x14ac:dyDescent="0.3">
      <c r="C3050" s="147" t="s">
        <v>392</v>
      </c>
      <c r="D3050" s="148" t="s">
        <v>393</v>
      </c>
      <c r="E3050" s="149"/>
      <c r="F3050" s="149"/>
      <c r="G3050" s="164">
        <v>0.1</v>
      </c>
      <c r="H3050" s="151"/>
      <c r="I3050" s="146">
        <f>G3050*I3049</f>
        <v>13139.14</v>
      </c>
    </row>
    <row r="3051" spans="1:10" ht="15.95" customHeight="1" thickBot="1" x14ac:dyDescent="0.3">
      <c r="C3051" s="111" t="s">
        <v>394</v>
      </c>
      <c r="D3051" s="112" t="s">
        <v>395</v>
      </c>
      <c r="E3051" s="134"/>
      <c r="F3051" s="134"/>
      <c r="G3051" s="156"/>
      <c r="H3051" s="136">
        <f>IF(AND(D3051&lt;&gt;"",F3051&lt;&gt;""),IF(C3051="",IF(F3051="OH",VLOOKUP(D3051,[1]UPAH!$B$3:$G$32,7,0),VLOOKUP(D3051,[1]BAHAN!$A$2:$D$3,4,0)),0),0)</f>
        <v>0</v>
      </c>
      <c r="I3051" s="137">
        <f>ROUNDDOWN(I3049+I3050,0)</f>
        <v>144530</v>
      </c>
    </row>
    <row r="3052" spans="1:10" ht="15.95" customHeight="1" x14ac:dyDescent="0.25">
      <c r="C3052" s="109"/>
      <c r="D3052" s="109"/>
      <c r="G3052" s="157"/>
      <c r="H3052" s="166"/>
      <c r="I3052" s="110"/>
    </row>
    <row r="3053" spans="1:10" ht="15.95" customHeight="1" x14ac:dyDescent="0.25">
      <c r="C3053" s="109"/>
      <c r="D3053" s="109"/>
      <c r="G3053" s="157"/>
    </row>
    <row r="3054" spans="1:10" ht="15.95" customHeight="1" x14ac:dyDescent="0.25">
      <c r="A3054" s="167" t="s">
        <v>881</v>
      </c>
      <c r="B3054" s="168" t="s">
        <v>882</v>
      </c>
      <c r="G3054" s="157"/>
    </row>
    <row r="3055" spans="1:10" ht="15.95" customHeight="1" thickBot="1" x14ac:dyDescent="0.3">
      <c r="B3055" s="247" t="s">
        <v>883</v>
      </c>
      <c r="C3055" s="104" t="s">
        <v>884</v>
      </c>
      <c r="G3055" s="157"/>
      <c r="J3055" s="110">
        <f>I3071</f>
        <v>108051</v>
      </c>
    </row>
    <row r="3056" spans="1:10" ht="15.95" customHeight="1" thickBot="1" x14ac:dyDescent="0.3">
      <c r="C3056" s="111" t="s">
        <v>328</v>
      </c>
      <c r="D3056" s="112" t="s">
        <v>359</v>
      </c>
      <c r="E3056" s="113" t="s">
        <v>360</v>
      </c>
      <c r="F3056" s="113" t="s">
        <v>330</v>
      </c>
      <c r="G3056" s="114" t="s">
        <v>361</v>
      </c>
      <c r="H3056" s="112" t="s">
        <v>362</v>
      </c>
      <c r="I3056" s="115" t="s">
        <v>363</v>
      </c>
    </row>
    <row r="3057" spans="3:9" ht="15.95" customHeight="1" x14ac:dyDescent="0.25">
      <c r="C3057" s="116" t="s">
        <v>364</v>
      </c>
      <c r="D3057" s="117" t="s">
        <v>365</v>
      </c>
      <c r="E3057" s="118"/>
      <c r="F3057" s="118"/>
      <c r="G3057" s="165"/>
      <c r="H3057" s="144"/>
      <c r="I3057" s="126"/>
    </row>
    <row r="3058" spans="3:9" ht="15.95" customHeight="1" x14ac:dyDescent="0.25">
      <c r="C3058" s="122"/>
      <c r="D3058" s="117" t="s">
        <v>366</v>
      </c>
      <c r="E3058" s="123" t="s">
        <v>367</v>
      </c>
      <c r="F3058" s="123" t="s">
        <v>368</v>
      </c>
      <c r="G3058" s="124">
        <v>0.3</v>
      </c>
      <c r="H3058" s="125">
        <f>VLOOKUP(D3058,Upah,8,FALSE)</f>
        <v>125000</v>
      </c>
      <c r="I3058" s="126">
        <f>G3058*H3058</f>
        <v>37500</v>
      </c>
    </row>
    <row r="3059" spans="3:9" ht="15.95" customHeight="1" x14ac:dyDescent="0.25">
      <c r="C3059" s="122"/>
      <c r="D3059" s="117" t="s">
        <v>505</v>
      </c>
      <c r="E3059" s="123" t="s">
        <v>414</v>
      </c>
      <c r="F3059" s="123" t="s">
        <v>368</v>
      </c>
      <c r="G3059" s="124">
        <v>0.15</v>
      </c>
      <c r="H3059" s="125">
        <f>VLOOKUP(D3059,Upah,8,FALSE)</f>
        <v>150000</v>
      </c>
      <c r="I3059" s="126">
        <f>G3059*H3059</f>
        <v>22500</v>
      </c>
    </row>
    <row r="3060" spans="3:9" ht="15.95" customHeight="1" x14ac:dyDescent="0.25">
      <c r="C3060" s="122"/>
      <c r="D3060" s="117" t="s">
        <v>371</v>
      </c>
      <c r="E3060" s="123" t="s">
        <v>372</v>
      </c>
      <c r="F3060" s="123" t="s">
        <v>368</v>
      </c>
      <c r="G3060" s="124">
        <v>1.4999999999999999E-2</v>
      </c>
      <c r="H3060" s="125">
        <f>VLOOKUP(D3060,Upah,8,FALSE)</f>
        <v>165000</v>
      </c>
      <c r="I3060" s="126">
        <f>G3060*H3060</f>
        <v>2475</v>
      </c>
    </row>
    <row r="3061" spans="3:9" ht="15.95" customHeight="1" thickBot="1" x14ac:dyDescent="0.3">
      <c r="C3061" s="122"/>
      <c r="D3061" s="117" t="s">
        <v>373</v>
      </c>
      <c r="E3061" s="123" t="s">
        <v>374</v>
      </c>
      <c r="F3061" s="123" t="s">
        <v>368</v>
      </c>
      <c r="G3061" s="124">
        <v>1.4999999999999999E-2</v>
      </c>
      <c r="H3061" s="125">
        <f>VLOOKUP(D3061,Upah,8,FALSE)</f>
        <v>170000</v>
      </c>
      <c r="I3061" s="126">
        <f>G3061*H3061</f>
        <v>2550</v>
      </c>
    </row>
    <row r="3062" spans="3:9" ht="15.95" customHeight="1" thickBot="1" x14ac:dyDescent="0.3">
      <c r="C3062" s="132"/>
      <c r="D3062" s="133"/>
      <c r="E3062" s="134"/>
      <c r="F3062" s="134"/>
      <c r="G3062" s="135" t="s">
        <v>375</v>
      </c>
      <c r="H3062" s="136"/>
      <c r="I3062" s="137">
        <f>SUM(I3058:I3061)</f>
        <v>65025</v>
      </c>
    </row>
    <row r="3063" spans="3:9" ht="15.95" customHeight="1" x14ac:dyDescent="0.25">
      <c r="C3063" s="116" t="s">
        <v>376</v>
      </c>
      <c r="D3063" s="117" t="s">
        <v>377</v>
      </c>
      <c r="E3063" s="118"/>
      <c r="F3063" s="118"/>
      <c r="G3063" s="165"/>
      <c r="H3063" s="144"/>
      <c r="I3063" s="126"/>
    </row>
    <row r="3064" spans="3:9" ht="15.95" customHeight="1" x14ac:dyDescent="0.25">
      <c r="C3064" s="122"/>
      <c r="D3064" s="117" t="s">
        <v>380</v>
      </c>
      <c r="E3064" s="118"/>
      <c r="F3064" s="123" t="s">
        <v>159</v>
      </c>
      <c r="G3064" s="124">
        <v>15.504</v>
      </c>
      <c r="H3064" s="144">
        <f>VLOOKUP(D3064,Bahan,6,FALSE)</f>
        <v>1880</v>
      </c>
      <c r="I3064" s="126">
        <f>G3064*H3064</f>
        <v>29147.52</v>
      </c>
    </row>
    <row r="3065" spans="3:9" ht="15.95" customHeight="1" thickBot="1" x14ac:dyDescent="0.3">
      <c r="C3065" s="122"/>
      <c r="D3065" s="117" t="s">
        <v>493</v>
      </c>
      <c r="E3065" s="118"/>
      <c r="F3065" s="123" t="s">
        <v>158</v>
      </c>
      <c r="G3065" s="124">
        <v>1.6E-2</v>
      </c>
      <c r="H3065" s="144">
        <f>VLOOKUP(D3065,Bahan,6,FALSE)</f>
        <v>253510</v>
      </c>
      <c r="I3065" s="126">
        <f>G3065*H3065</f>
        <v>4056.1600000000003</v>
      </c>
    </row>
    <row r="3066" spans="3:9" ht="15.95" customHeight="1" thickBot="1" x14ac:dyDescent="0.3">
      <c r="C3066" s="132"/>
      <c r="D3066" s="133"/>
      <c r="E3066" s="134"/>
      <c r="F3066" s="134"/>
      <c r="G3066" s="135" t="s">
        <v>386</v>
      </c>
      <c r="H3066" s="136"/>
      <c r="I3066" s="137">
        <f>SUM(I3064:I3065)</f>
        <v>33203.68</v>
      </c>
    </row>
    <row r="3067" spans="3:9" ht="15.95" customHeight="1" thickBot="1" x14ac:dyDescent="0.3">
      <c r="C3067" s="116" t="s">
        <v>387</v>
      </c>
      <c r="D3067" s="117" t="s">
        <v>388</v>
      </c>
      <c r="E3067" s="118"/>
      <c r="F3067" s="118"/>
      <c r="G3067" s="165"/>
      <c r="H3067" s="144">
        <f>IF(AND(D3067&lt;&gt;"",F3067&lt;&gt;""),IF(C3067="",IF(F3067="OH",VLOOKUP(D3067,[1]UPAH!$B$3:$G$32,7,0),VLOOKUP(D3067,[1]BAHAN!$A$2:$D$3,4,0)),0),0)</f>
        <v>0</v>
      </c>
      <c r="I3067" s="126">
        <f>G3067*H3067</f>
        <v>0</v>
      </c>
    </row>
    <row r="3068" spans="3:9" ht="15.95" customHeight="1" thickBot="1" x14ac:dyDescent="0.3">
      <c r="C3068" s="132"/>
      <c r="D3068" s="133"/>
      <c r="E3068" s="134"/>
      <c r="F3068" s="134"/>
      <c r="G3068" s="135" t="s">
        <v>389</v>
      </c>
      <c r="H3068" s="136"/>
      <c r="I3068" s="137">
        <f>I3067</f>
        <v>0</v>
      </c>
    </row>
    <row r="3069" spans="3:9" ht="15.95" customHeight="1" x14ac:dyDescent="0.25">
      <c r="C3069" s="158" t="s">
        <v>390</v>
      </c>
      <c r="D3069" s="159" t="s">
        <v>391</v>
      </c>
      <c r="E3069" s="160"/>
      <c r="F3069" s="160"/>
      <c r="G3069" s="161"/>
      <c r="H3069" s="162">
        <f>IF(AND(D3069&lt;&gt;"",F3069&lt;&gt;""),IF(C3069="",IF(F3069="OH",VLOOKUP(D3069,[1]UPAH!$B$3:$G$32,7,0),VLOOKUP(D3069,[1]BAHAN!$A$2:$D$3,4,0)),0),0)</f>
        <v>0</v>
      </c>
      <c r="I3069" s="126">
        <f>SUM(I3058:I3068)/2</f>
        <v>98228.68</v>
      </c>
    </row>
    <row r="3070" spans="3:9" ht="15.95" customHeight="1" thickBot="1" x14ac:dyDescent="0.3">
      <c r="C3070" s="147" t="s">
        <v>392</v>
      </c>
      <c r="D3070" s="148" t="s">
        <v>393</v>
      </c>
      <c r="E3070" s="149"/>
      <c r="F3070" s="149"/>
      <c r="G3070" s="164">
        <v>0.1</v>
      </c>
      <c r="H3070" s="151"/>
      <c r="I3070" s="146">
        <f>G3070*I3069</f>
        <v>9822.8680000000004</v>
      </c>
    </row>
    <row r="3071" spans="3:9" ht="15.95" customHeight="1" thickBot="1" x14ac:dyDescent="0.3">
      <c r="C3071" s="111" t="s">
        <v>394</v>
      </c>
      <c r="D3071" s="112" t="s">
        <v>395</v>
      </c>
      <c r="E3071" s="134"/>
      <c r="F3071" s="134"/>
      <c r="G3071" s="156"/>
      <c r="H3071" s="136">
        <f>IF(AND(D3071&lt;&gt;"",F3071&lt;&gt;""),IF(C3071="",IF(F3071="OH",VLOOKUP(D3071,[1]UPAH!$B$3:$G$32,7,0),VLOOKUP(D3071,[1]BAHAN!$A$2:$D$3,4,0)),0),0)</f>
        <v>0</v>
      </c>
      <c r="I3071" s="137">
        <f>ROUNDDOWN(I3069+I3070,0)</f>
        <v>108051</v>
      </c>
    </row>
    <row r="3072" spans="3:9" ht="15.95" customHeight="1" x14ac:dyDescent="0.25">
      <c r="C3072" s="109"/>
      <c r="D3072" s="109"/>
      <c r="G3072" s="157"/>
    </row>
    <row r="3073" spans="2:10" ht="15.95" customHeight="1" thickBot="1" x14ac:dyDescent="0.3">
      <c r="B3073" s="109" t="s">
        <v>885</v>
      </c>
      <c r="C3073" s="104" t="s">
        <v>886</v>
      </c>
      <c r="G3073" s="157"/>
      <c r="J3073" s="110">
        <f>I3089</f>
        <v>98247</v>
      </c>
    </row>
    <row r="3074" spans="2:10" ht="15.95" customHeight="1" thickBot="1" x14ac:dyDescent="0.3">
      <c r="C3074" s="111" t="s">
        <v>328</v>
      </c>
      <c r="D3074" s="112" t="s">
        <v>359</v>
      </c>
      <c r="E3074" s="113" t="s">
        <v>360</v>
      </c>
      <c r="F3074" s="113" t="s">
        <v>330</v>
      </c>
      <c r="G3074" s="114" t="s">
        <v>361</v>
      </c>
      <c r="H3074" s="112" t="s">
        <v>362</v>
      </c>
      <c r="I3074" s="115" t="s">
        <v>363</v>
      </c>
    </row>
    <row r="3075" spans="2:10" ht="15.95" customHeight="1" x14ac:dyDescent="0.25">
      <c r="C3075" s="116" t="s">
        <v>364</v>
      </c>
      <c r="D3075" s="117" t="s">
        <v>365</v>
      </c>
      <c r="E3075" s="118"/>
      <c r="F3075" s="118"/>
      <c r="G3075" s="165"/>
      <c r="H3075" s="144"/>
      <c r="I3075" s="126"/>
    </row>
    <row r="3076" spans="2:10" ht="15.95" customHeight="1" x14ac:dyDescent="0.25">
      <c r="C3076" s="122"/>
      <c r="D3076" s="117" t="s">
        <v>366</v>
      </c>
      <c r="E3076" s="123" t="s">
        <v>367</v>
      </c>
      <c r="F3076" s="123" t="s">
        <v>368</v>
      </c>
      <c r="G3076" s="124">
        <v>0.3</v>
      </c>
      <c r="H3076" s="125">
        <f>VLOOKUP(D3076,Upah,8,FALSE)</f>
        <v>125000</v>
      </c>
      <c r="I3076" s="126">
        <f>G3076*H3076</f>
        <v>37500</v>
      </c>
    </row>
    <row r="3077" spans="2:10" ht="15.95" customHeight="1" x14ac:dyDescent="0.25">
      <c r="C3077" s="122"/>
      <c r="D3077" s="117" t="s">
        <v>505</v>
      </c>
      <c r="E3077" s="123" t="s">
        <v>414</v>
      </c>
      <c r="F3077" s="123" t="s">
        <v>368</v>
      </c>
      <c r="G3077" s="124">
        <v>0.15</v>
      </c>
      <c r="H3077" s="125">
        <f>VLOOKUP(D3077,Upah,8,FALSE)</f>
        <v>150000</v>
      </c>
      <c r="I3077" s="126">
        <f>G3077*H3077</f>
        <v>22500</v>
      </c>
    </row>
    <row r="3078" spans="2:10" ht="15.95" customHeight="1" x14ac:dyDescent="0.25">
      <c r="C3078" s="122"/>
      <c r="D3078" s="117" t="s">
        <v>371</v>
      </c>
      <c r="E3078" s="123" t="s">
        <v>372</v>
      </c>
      <c r="F3078" s="123" t="s">
        <v>368</v>
      </c>
      <c r="G3078" s="124">
        <v>1.4999999999999999E-2</v>
      </c>
      <c r="H3078" s="125">
        <f>VLOOKUP(D3078,Upah,8,FALSE)</f>
        <v>165000</v>
      </c>
      <c r="I3078" s="126">
        <f>G3078*H3078</f>
        <v>2475</v>
      </c>
    </row>
    <row r="3079" spans="2:10" ht="15.95" customHeight="1" thickBot="1" x14ac:dyDescent="0.3">
      <c r="C3079" s="122"/>
      <c r="D3079" s="117" t="s">
        <v>373</v>
      </c>
      <c r="E3079" s="123" t="s">
        <v>374</v>
      </c>
      <c r="F3079" s="123" t="s">
        <v>368</v>
      </c>
      <c r="G3079" s="124">
        <v>1.4999999999999999E-2</v>
      </c>
      <c r="H3079" s="125">
        <f>VLOOKUP(D3079,Upah,8,FALSE)</f>
        <v>170000</v>
      </c>
      <c r="I3079" s="126">
        <f>G3079*H3079</f>
        <v>2550</v>
      </c>
    </row>
    <row r="3080" spans="2:10" ht="15.95" customHeight="1" thickBot="1" x14ac:dyDescent="0.3">
      <c r="C3080" s="132"/>
      <c r="D3080" s="133"/>
      <c r="E3080" s="134"/>
      <c r="F3080" s="134"/>
      <c r="G3080" s="135" t="s">
        <v>375</v>
      </c>
      <c r="H3080" s="136"/>
      <c r="I3080" s="137">
        <f>SUM(I3076:I3079)</f>
        <v>65025</v>
      </c>
    </row>
    <row r="3081" spans="2:10" ht="15.95" customHeight="1" x14ac:dyDescent="0.25">
      <c r="C3081" s="116" t="s">
        <v>376</v>
      </c>
      <c r="D3081" s="117" t="s">
        <v>377</v>
      </c>
      <c r="E3081" s="118"/>
      <c r="F3081" s="118"/>
      <c r="G3081" s="165"/>
      <c r="H3081" s="144"/>
      <c r="I3081" s="126"/>
    </row>
    <row r="3082" spans="2:10" ht="15.95" customHeight="1" x14ac:dyDescent="0.25">
      <c r="C3082" s="122"/>
      <c r="D3082" s="117" t="s">
        <v>380</v>
      </c>
      <c r="E3082" s="118"/>
      <c r="F3082" s="123" t="s">
        <v>159</v>
      </c>
      <c r="G3082" s="124">
        <v>10.224</v>
      </c>
      <c r="H3082" s="144">
        <f>VLOOKUP(D3082,Bahan,6,FALSE)</f>
        <v>1880</v>
      </c>
      <c r="I3082" s="126">
        <f>G3082*H3082</f>
        <v>19221.12</v>
      </c>
    </row>
    <row r="3083" spans="2:10" ht="15.95" customHeight="1" thickBot="1" x14ac:dyDescent="0.3">
      <c r="C3083" s="122"/>
      <c r="D3083" s="117" t="s">
        <v>493</v>
      </c>
      <c r="E3083" s="118"/>
      <c r="F3083" s="123" t="s">
        <v>158</v>
      </c>
      <c r="G3083" s="124">
        <v>0.02</v>
      </c>
      <c r="H3083" s="144">
        <f>VLOOKUP(D3083,Bahan,6,FALSE)</f>
        <v>253510</v>
      </c>
      <c r="I3083" s="126">
        <f>G3083*H3083</f>
        <v>5070.2</v>
      </c>
    </row>
    <row r="3084" spans="2:10" ht="15.95" customHeight="1" thickBot="1" x14ac:dyDescent="0.3">
      <c r="C3084" s="132"/>
      <c r="D3084" s="133"/>
      <c r="E3084" s="134"/>
      <c r="F3084" s="134"/>
      <c r="G3084" s="135" t="s">
        <v>386</v>
      </c>
      <c r="H3084" s="136"/>
      <c r="I3084" s="137">
        <f>SUM(I3082:I3083)</f>
        <v>24291.32</v>
      </c>
    </row>
    <row r="3085" spans="2:10" ht="15.95" customHeight="1" thickBot="1" x14ac:dyDescent="0.3">
      <c r="C3085" s="116" t="s">
        <v>387</v>
      </c>
      <c r="D3085" s="117" t="s">
        <v>388</v>
      </c>
      <c r="E3085" s="118"/>
      <c r="F3085" s="118"/>
      <c r="G3085" s="165"/>
      <c r="H3085" s="144">
        <f>IF(AND(D3085&lt;&gt;"",F3085&lt;&gt;""),IF(C3085="",IF(F3085="OH",VLOOKUP(D3085,[1]UPAH!$B$3:$G$32,7,0),VLOOKUP(D3085,[1]BAHAN!$A$2:$D$3,4,0)),0),0)</f>
        <v>0</v>
      </c>
      <c r="I3085" s="126">
        <f>G3085*H3085</f>
        <v>0</v>
      </c>
    </row>
    <row r="3086" spans="2:10" ht="15.95" customHeight="1" thickBot="1" x14ac:dyDescent="0.3">
      <c r="C3086" s="132"/>
      <c r="D3086" s="133"/>
      <c r="E3086" s="134"/>
      <c r="F3086" s="134"/>
      <c r="G3086" s="135" t="s">
        <v>389</v>
      </c>
      <c r="H3086" s="136"/>
      <c r="I3086" s="137">
        <f>I3085</f>
        <v>0</v>
      </c>
    </row>
    <row r="3087" spans="2:10" ht="15.95" customHeight="1" x14ac:dyDescent="0.25">
      <c r="C3087" s="158" t="s">
        <v>390</v>
      </c>
      <c r="D3087" s="159" t="s">
        <v>391</v>
      </c>
      <c r="E3087" s="160"/>
      <c r="F3087" s="160"/>
      <c r="G3087" s="161"/>
      <c r="H3087" s="162">
        <f>IF(AND(D3087&lt;&gt;"",F3087&lt;&gt;""),IF(C3087="",IF(F3087="OH",VLOOKUP(D3087,[1]UPAH!$B$3:$G$32,7,0),VLOOKUP(D3087,[1]BAHAN!$A$2:$D$3,4,0)),0),0)</f>
        <v>0</v>
      </c>
      <c r="I3087" s="126">
        <f>SUM(I3076:I3086)/2</f>
        <v>89316.32</v>
      </c>
    </row>
    <row r="3088" spans="2:10" ht="15.95" customHeight="1" thickBot="1" x14ac:dyDescent="0.3">
      <c r="C3088" s="147" t="s">
        <v>392</v>
      </c>
      <c r="D3088" s="148" t="s">
        <v>393</v>
      </c>
      <c r="E3088" s="149"/>
      <c r="F3088" s="149"/>
      <c r="G3088" s="164">
        <v>0.1</v>
      </c>
      <c r="H3088" s="151"/>
      <c r="I3088" s="146">
        <f>G3088*I3087</f>
        <v>8931.6320000000014</v>
      </c>
    </row>
    <row r="3089" spans="2:10" ht="15.95" customHeight="1" thickBot="1" x14ac:dyDescent="0.3">
      <c r="C3089" s="111" t="s">
        <v>394</v>
      </c>
      <c r="D3089" s="112" t="s">
        <v>395</v>
      </c>
      <c r="E3089" s="134"/>
      <c r="F3089" s="134"/>
      <c r="G3089" s="156"/>
      <c r="H3089" s="136">
        <f>IF(AND(D3089&lt;&gt;"",F3089&lt;&gt;""),IF(C3089="",IF(F3089="OH",VLOOKUP(D3089,[1]UPAH!$B$3:$G$32,7,0),VLOOKUP(D3089,[1]BAHAN!$A$2:$D$3,4,0)),0),0)</f>
        <v>0</v>
      </c>
      <c r="I3089" s="137">
        <f>ROUNDDOWN(I3087+I3088,0)</f>
        <v>98247</v>
      </c>
    </row>
    <row r="3090" spans="2:10" ht="15.95" customHeight="1" x14ac:dyDescent="0.25">
      <c r="C3090" s="109"/>
      <c r="D3090" s="109"/>
      <c r="G3090" s="157"/>
    </row>
    <row r="3091" spans="2:10" ht="15.95" customHeight="1" thickBot="1" x14ac:dyDescent="0.3">
      <c r="B3091" s="109" t="s">
        <v>887</v>
      </c>
      <c r="C3091" s="104" t="s">
        <v>888</v>
      </c>
      <c r="G3091" s="157"/>
      <c r="J3091" s="110">
        <f>I3107</f>
        <v>94022</v>
      </c>
    </row>
    <row r="3092" spans="2:10" ht="15.95" customHeight="1" thickBot="1" x14ac:dyDescent="0.3">
      <c r="C3092" s="111" t="s">
        <v>328</v>
      </c>
      <c r="D3092" s="112" t="s">
        <v>359</v>
      </c>
      <c r="E3092" s="113" t="s">
        <v>360</v>
      </c>
      <c r="F3092" s="113" t="s">
        <v>330</v>
      </c>
      <c r="G3092" s="114" t="s">
        <v>361</v>
      </c>
      <c r="H3092" s="112" t="s">
        <v>362</v>
      </c>
      <c r="I3092" s="115" t="s">
        <v>363</v>
      </c>
    </row>
    <row r="3093" spans="2:10" ht="15.95" customHeight="1" x14ac:dyDescent="0.25">
      <c r="C3093" s="116" t="s">
        <v>364</v>
      </c>
      <c r="D3093" s="117" t="s">
        <v>365</v>
      </c>
      <c r="E3093" s="118"/>
      <c r="F3093" s="118"/>
      <c r="G3093" s="165"/>
      <c r="H3093" s="144"/>
      <c r="I3093" s="126"/>
    </row>
    <row r="3094" spans="2:10" ht="15.95" customHeight="1" x14ac:dyDescent="0.25">
      <c r="C3094" s="122"/>
      <c r="D3094" s="117" t="s">
        <v>366</v>
      </c>
      <c r="E3094" s="123" t="s">
        <v>367</v>
      </c>
      <c r="F3094" s="123" t="s">
        <v>368</v>
      </c>
      <c r="G3094" s="124">
        <v>0.3</v>
      </c>
      <c r="H3094" s="125">
        <f>VLOOKUP(D3094,Upah,8,FALSE)</f>
        <v>125000</v>
      </c>
      <c r="I3094" s="126">
        <f>G3094*H3094</f>
        <v>37500</v>
      </c>
    </row>
    <row r="3095" spans="2:10" ht="15.95" customHeight="1" x14ac:dyDescent="0.25">
      <c r="C3095" s="122"/>
      <c r="D3095" s="117" t="s">
        <v>505</v>
      </c>
      <c r="E3095" s="123" t="s">
        <v>414</v>
      </c>
      <c r="F3095" s="123" t="s">
        <v>368</v>
      </c>
      <c r="G3095" s="124">
        <v>0.15</v>
      </c>
      <c r="H3095" s="125">
        <f>VLOOKUP(D3095,Upah,8,FALSE)</f>
        <v>150000</v>
      </c>
      <c r="I3095" s="126">
        <f>G3095*H3095</f>
        <v>22500</v>
      </c>
    </row>
    <row r="3096" spans="2:10" ht="15.95" customHeight="1" x14ac:dyDescent="0.25">
      <c r="C3096" s="122"/>
      <c r="D3096" s="117" t="s">
        <v>371</v>
      </c>
      <c r="E3096" s="123" t="s">
        <v>372</v>
      </c>
      <c r="F3096" s="123" t="s">
        <v>368</v>
      </c>
      <c r="G3096" s="124">
        <v>1.4999999999999999E-2</v>
      </c>
      <c r="H3096" s="125">
        <f>VLOOKUP(D3096,Upah,8,FALSE)</f>
        <v>165000</v>
      </c>
      <c r="I3096" s="126">
        <f>G3096*H3096</f>
        <v>2475</v>
      </c>
    </row>
    <row r="3097" spans="2:10" ht="15.95" customHeight="1" thickBot="1" x14ac:dyDescent="0.3">
      <c r="C3097" s="122"/>
      <c r="D3097" s="117" t="s">
        <v>373</v>
      </c>
      <c r="E3097" s="123" t="s">
        <v>374</v>
      </c>
      <c r="F3097" s="123" t="s">
        <v>368</v>
      </c>
      <c r="G3097" s="124">
        <v>1.4999999999999999E-2</v>
      </c>
      <c r="H3097" s="125">
        <f>VLOOKUP(D3097,Upah,8,FALSE)</f>
        <v>170000</v>
      </c>
      <c r="I3097" s="126">
        <f>G3097*H3097</f>
        <v>2550</v>
      </c>
    </row>
    <row r="3098" spans="2:10" ht="15.95" customHeight="1" thickBot="1" x14ac:dyDescent="0.3">
      <c r="C3098" s="132"/>
      <c r="D3098" s="133"/>
      <c r="E3098" s="134"/>
      <c r="F3098" s="134"/>
      <c r="G3098" s="135" t="s">
        <v>375</v>
      </c>
      <c r="H3098" s="136"/>
      <c r="I3098" s="137">
        <f>SUM(I3094:I3097)</f>
        <v>65025</v>
      </c>
    </row>
    <row r="3099" spans="2:10" ht="15.95" customHeight="1" x14ac:dyDescent="0.25">
      <c r="C3099" s="116" t="s">
        <v>376</v>
      </c>
      <c r="D3099" s="117" t="s">
        <v>377</v>
      </c>
      <c r="E3099" s="118"/>
      <c r="F3099" s="118"/>
      <c r="G3099" s="165"/>
      <c r="H3099" s="144"/>
      <c r="I3099" s="126"/>
    </row>
    <row r="3100" spans="2:10" ht="15.95" customHeight="1" x14ac:dyDescent="0.25">
      <c r="C3100" s="122"/>
      <c r="D3100" s="117" t="s">
        <v>380</v>
      </c>
      <c r="E3100" s="118"/>
      <c r="F3100" s="123" t="s">
        <v>159</v>
      </c>
      <c r="G3100" s="124">
        <v>7.7759999999999998</v>
      </c>
      <c r="H3100" s="144">
        <f>VLOOKUP(D3100,Bahan,6,FALSE)</f>
        <v>1880</v>
      </c>
      <c r="I3100" s="126">
        <f>G3100*H3100</f>
        <v>14618.88</v>
      </c>
    </row>
    <row r="3101" spans="2:10" ht="15.95" customHeight="1" thickBot="1" x14ac:dyDescent="0.3">
      <c r="C3101" s="122"/>
      <c r="D3101" s="117" t="s">
        <v>493</v>
      </c>
      <c r="E3101" s="118"/>
      <c r="F3101" s="123" t="s">
        <v>158</v>
      </c>
      <c r="G3101" s="124">
        <v>2.3E-2</v>
      </c>
      <c r="H3101" s="144">
        <f>VLOOKUP(D3101,Bahan,6,FALSE)</f>
        <v>253510</v>
      </c>
      <c r="I3101" s="126">
        <f>G3101*H3101</f>
        <v>5830.73</v>
      </c>
    </row>
    <row r="3102" spans="2:10" ht="15.95" customHeight="1" thickBot="1" x14ac:dyDescent="0.3">
      <c r="C3102" s="132"/>
      <c r="D3102" s="133"/>
      <c r="E3102" s="134"/>
      <c r="F3102" s="134"/>
      <c r="G3102" s="135" t="s">
        <v>386</v>
      </c>
      <c r="H3102" s="136"/>
      <c r="I3102" s="137">
        <f>SUM(I3100:I3101)</f>
        <v>20449.61</v>
      </c>
    </row>
    <row r="3103" spans="2:10" ht="15.95" customHeight="1" thickBot="1" x14ac:dyDescent="0.3">
      <c r="C3103" s="116" t="s">
        <v>387</v>
      </c>
      <c r="D3103" s="117" t="s">
        <v>388</v>
      </c>
      <c r="E3103" s="118"/>
      <c r="F3103" s="118"/>
      <c r="G3103" s="165"/>
      <c r="H3103" s="144">
        <f>IF(AND(D3103&lt;&gt;"",F3103&lt;&gt;""),IF(C3103="",IF(F3103="OH",VLOOKUP(D3103,[1]UPAH!$B$3:$G$32,7,0),VLOOKUP(D3103,[1]BAHAN!$A$2:$D$3,4,0)),0),0)</f>
        <v>0</v>
      </c>
      <c r="I3103" s="126">
        <f>G3103*H3103</f>
        <v>0</v>
      </c>
    </row>
    <row r="3104" spans="2:10" ht="15.95" customHeight="1" thickBot="1" x14ac:dyDescent="0.3">
      <c r="C3104" s="132"/>
      <c r="D3104" s="133"/>
      <c r="E3104" s="134"/>
      <c r="F3104" s="134"/>
      <c r="G3104" s="135" t="s">
        <v>389</v>
      </c>
      <c r="H3104" s="136"/>
      <c r="I3104" s="137">
        <f>I3103</f>
        <v>0</v>
      </c>
    </row>
    <row r="3105" spans="2:10" ht="15.95" customHeight="1" x14ac:dyDescent="0.25">
      <c r="C3105" s="158" t="s">
        <v>390</v>
      </c>
      <c r="D3105" s="159" t="s">
        <v>391</v>
      </c>
      <c r="E3105" s="160"/>
      <c r="F3105" s="160"/>
      <c r="G3105" s="161"/>
      <c r="H3105" s="162">
        <f>IF(AND(D3105&lt;&gt;"",F3105&lt;&gt;""),IF(C3105="",IF(F3105="OH",VLOOKUP(D3105,[1]UPAH!$B$3:$G$32,7,0),VLOOKUP(D3105,[1]BAHAN!$A$2:$D$3,4,0)),0),0)</f>
        <v>0</v>
      </c>
      <c r="I3105" s="126">
        <f>SUM(I3094:I3104)/2</f>
        <v>85474.610000000015</v>
      </c>
    </row>
    <row r="3106" spans="2:10" ht="15.95" customHeight="1" thickBot="1" x14ac:dyDescent="0.3">
      <c r="C3106" s="147" t="s">
        <v>392</v>
      </c>
      <c r="D3106" s="148" t="s">
        <v>393</v>
      </c>
      <c r="E3106" s="149"/>
      <c r="F3106" s="149"/>
      <c r="G3106" s="164">
        <v>0.1</v>
      </c>
      <c r="H3106" s="151"/>
      <c r="I3106" s="146">
        <f>G3106*I3105</f>
        <v>8547.4610000000011</v>
      </c>
    </row>
    <row r="3107" spans="2:10" ht="15.95" customHeight="1" thickBot="1" x14ac:dyDescent="0.3">
      <c r="C3107" s="111" t="s">
        <v>394</v>
      </c>
      <c r="D3107" s="112" t="s">
        <v>395</v>
      </c>
      <c r="E3107" s="134"/>
      <c r="F3107" s="134"/>
      <c r="G3107" s="156"/>
      <c r="H3107" s="136">
        <f>IF(AND(D3107&lt;&gt;"",F3107&lt;&gt;""),IF(C3107="",IF(F3107="OH",VLOOKUP(D3107,[1]UPAH!$B$3:$G$32,7,0),VLOOKUP(D3107,[1]BAHAN!$A$2:$D$3,4,0)),0),0)</f>
        <v>0</v>
      </c>
      <c r="I3107" s="137">
        <f>ROUNDDOWN(I3105+I3106,0)</f>
        <v>94022</v>
      </c>
    </row>
    <row r="3108" spans="2:10" ht="15.95" customHeight="1" x14ac:dyDescent="0.25">
      <c r="C3108" s="109"/>
      <c r="D3108" s="109"/>
      <c r="G3108" s="157"/>
    </row>
    <row r="3109" spans="2:10" ht="15.95" customHeight="1" thickBot="1" x14ac:dyDescent="0.3">
      <c r="B3109" s="109" t="s">
        <v>889</v>
      </c>
      <c r="C3109" s="104" t="s">
        <v>890</v>
      </c>
      <c r="G3109" s="157"/>
      <c r="J3109" s="110">
        <f>I3125</f>
        <v>91124</v>
      </c>
    </row>
    <row r="3110" spans="2:10" ht="15.95" customHeight="1" thickBot="1" x14ac:dyDescent="0.3">
      <c r="C3110" s="111" t="s">
        <v>328</v>
      </c>
      <c r="D3110" s="112" t="s">
        <v>359</v>
      </c>
      <c r="E3110" s="113" t="s">
        <v>360</v>
      </c>
      <c r="F3110" s="113" t="s">
        <v>330</v>
      </c>
      <c r="G3110" s="114" t="s">
        <v>361</v>
      </c>
      <c r="H3110" s="112" t="s">
        <v>362</v>
      </c>
      <c r="I3110" s="115" t="s">
        <v>363</v>
      </c>
    </row>
    <row r="3111" spans="2:10" ht="15.95" customHeight="1" x14ac:dyDescent="0.25">
      <c r="C3111" s="116" t="s">
        <v>364</v>
      </c>
      <c r="D3111" s="117" t="s">
        <v>365</v>
      </c>
      <c r="E3111" s="118"/>
      <c r="F3111" s="118"/>
      <c r="G3111" s="165"/>
      <c r="H3111" s="144"/>
      <c r="I3111" s="126"/>
    </row>
    <row r="3112" spans="2:10" ht="15.95" customHeight="1" x14ac:dyDescent="0.25">
      <c r="C3112" s="122"/>
      <c r="D3112" s="117" t="s">
        <v>366</v>
      </c>
      <c r="E3112" s="123" t="s">
        <v>367</v>
      </c>
      <c r="F3112" s="123" t="s">
        <v>368</v>
      </c>
      <c r="G3112" s="124">
        <v>0.3</v>
      </c>
      <c r="H3112" s="125">
        <f>VLOOKUP(D3112,Upah,8,FALSE)</f>
        <v>125000</v>
      </c>
      <c r="I3112" s="126">
        <f>G3112*H3112</f>
        <v>37500</v>
      </c>
    </row>
    <row r="3113" spans="2:10" ht="15.95" customHeight="1" x14ac:dyDescent="0.25">
      <c r="C3113" s="122"/>
      <c r="D3113" s="117" t="s">
        <v>505</v>
      </c>
      <c r="E3113" s="123" t="s">
        <v>414</v>
      </c>
      <c r="F3113" s="123" t="s">
        <v>368</v>
      </c>
      <c r="G3113" s="124">
        <v>0.15</v>
      </c>
      <c r="H3113" s="125">
        <f>VLOOKUP(D3113,Upah,8,FALSE)</f>
        <v>150000</v>
      </c>
      <c r="I3113" s="126">
        <f>G3113*H3113</f>
        <v>22500</v>
      </c>
    </row>
    <row r="3114" spans="2:10" ht="15.95" customHeight="1" x14ac:dyDescent="0.25">
      <c r="C3114" s="122"/>
      <c r="D3114" s="117" t="s">
        <v>371</v>
      </c>
      <c r="E3114" s="123" t="s">
        <v>372</v>
      </c>
      <c r="F3114" s="123" t="s">
        <v>368</v>
      </c>
      <c r="G3114" s="124">
        <v>1.4999999999999999E-2</v>
      </c>
      <c r="H3114" s="125">
        <f>VLOOKUP(D3114,Upah,8,FALSE)</f>
        <v>165000</v>
      </c>
      <c r="I3114" s="126">
        <f>G3114*H3114</f>
        <v>2475</v>
      </c>
    </row>
    <row r="3115" spans="2:10" ht="15.95" customHeight="1" thickBot="1" x14ac:dyDescent="0.3">
      <c r="C3115" s="122"/>
      <c r="D3115" s="117" t="s">
        <v>373</v>
      </c>
      <c r="E3115" s="123" t="s">
        <v>374</v>
      </c>
      <c r="F3115" s="123" t="s">
        <v>368</v>
      </c>
      <c r="G3115" s="124">
        <v>1.4999999999999999E-2</v>
      </c>
      <c r="H3115" s="125">
        <f>VLOOKUP(D3115,Upah,8,FALSE)</f>
        <v>170000</v>
      </c>
      <c r="I3115" s="126">
        <f>G3115*H3115</f>
        <v>2550</v>
      </c>
    </row>
    <row r="3116" spans="2:10" ht="15.95" customHeight="1" thickBot="1" x14ac:dyDescent="0.3">
      <c r="C3116" s="132"/>
      <c r="D3116" s="133"/>
      <c r="E3116" s="134"/>
      <c r="F3116" s="134"/>
      <c r="G3116" s="135" t="s">
        <v>375</v>
      </c>
      <c r="H3116" s="136"/>
      <c r="I3116" s="137">
        <f>SUM(I3112:I3115)</f>
        <v>65025</v>
      </c>
    </row>
    <row r="3117" spans="2:10" ht="15.95" customHeight="1" x14ac:dyDescent="0.25">
      <c r="C3117" s="116" t="s">
        <v>376</v>
      </c>
      <c r="D3117" s="117" t="s">
        <v>377</v>
      </c>
      <c r="E3117" s="118"/>
      <c r="F3117" s="118"/>
      <c r="G3117" s="165"/>
      <c r="H3117" s="144"/>
      <c r="I3117" s="126"/>
    </row>
    <row r="3118" spans="2:10" ht="15.95" customHeight="1" x14ac:dyDescent="0.25">
      <c r="C3118" s="122"/>
      <c r="D3118" s="117" t="s">
        <v>380</v>
      </c>
      <c r="E3118" s="118"/>
      <c r="F3118" s="123" t="s">
        <v>159</v>
      </c>
      <c r="G3118" s="124">
        <v>6.24</v>
      </c>
      <c r="H3118" s="144">
        <f>VLOOKUP(D3118,Bahan,6,FALSE)</f>
        <v>1880</v>
      </c>
      <c r="I3118" s="126">
        <f>G3118*H3118</f>
        <v>11731.2</v>
      </c>
    </row>
    <row r="3119" spans="2:10" ht="15.95" customHeight="1" thickBot="1" x14ac:dyDescent="0.3">
      <c r="C3119" s="122"/>
      <c r="D3119" s="117" t="s">
        <v>493</v>
      </c>
      <c r="E3119" s="118"/>
      <c r="F3119" s="123" t="s">
        <v>158</v>
      </c>
      <c r="G3119" s="124">
        <v>2.4E-2</v>
      </c>
      <c r="H3119" s="144">
        <f>VLOOKUP(D3119,Bahan,6,FALSE)</f>
        <v>253510</v>
      </c>
      <c r="I3119" s="126">
        <f>G3119*H3119</f>
        <v>6084.24</v>
      </c>
    </row>
    <row r="3120" spans="2:10" ht="15.95" customHeight="1" thickBot="1" x14ac:dyDescent="0.3">
      <c r="C3120" s="132"/>
      <c r="D3120" s="133"/>
      <c r="E3120" s="134"/>
      <c r="F3120" s="134"/>
      <c r="G3120" s="135" t="s">
        <v>386</v>
      </c>
      <c r="H3120" s="136"/>
      <c r="I3120" s="137">
        <f>SUM(I3118:I3119)</f>
        <v>17815.440000000002</v>
      </c>
    </row>
    <row r="3121" spans="2:10" ht="15.95" customHeight="1" thickBot="1" x14ac:dyDescent="0.3">
      <c r="C3121" s="116" t="s">
        <v>387</v>
      </c>
      <c r="D3121" s="117" t="s">
        <v>388</v>
      </c>
      <c r="E3121" s="118"/>
      <c r="F3121" s="118"/>
      <c r="G3121" s="165"/>
      <c r="H3121" s="144">
        <f>IF(AND(D3121&lt;&gt;"",F3121&lt;&gt;""),IF(C3121="",IF(F3121="OH",VLOOKUP(D3121,[1]UPAH!$B$3:$G$32,7,0),VLOOKUP(D3121,[1]BAHAN!$A$2:$D$3,4,0)),0),0)</f>
        <v>0</v>
      </c>
      <c r="I3121" s="126">
        <f>G3121*H3121</f>
        <v>0</v>
      </c>
    </row>
    <row r="3122" spans="2:10" ht="15.95" customHeight="1" thickBot="1" x14ac:dyDescent="0.3">
      <c r="C3122" s="132"/>
      <c r="D3122" s="133"/>
      <c r="E3122" s="134"/>
      <c r="F3122" s="134"/>
      <c r="G3122" s="135" t="s">
        <v>389</v>
      </c>
      <c r="H3122" s="136"/>
      <c r="I3122" s="137">
        <f>I3121</f>
        <v>0</v>
      </c>
    </row>
    <row r="3123" spans="2:10" ht="15.95" customHeight="1" x14ac:dyDescent="0.25">
      <c r="C3123" s="158" t="s">
        <v>390</v>
      </c>
      <c r="D3123" s="159" t="s">
        <v>391</v>
      </c>
      <c r="E3123" s="160"/>
      <c r="F3123" s="160"/>
      <c r="G3123" s="161"/>
      <c r="H3123" s="162">
        <f>IF(AND(D3123&lt;&gt;"",F3123&lt;&gt;""),IF(C3123="",IF(F3123="OH",VLOOKUP(D3123,[1]UPAH!$B$3:$G$32,7,0),VLOOKUP(D3123,[1]BAHAN!$A$2:$D$3,4,0)),0),0)</f>
        <v>0</v>
      </c>
      <c r="I3123" s="126">
        <f>SUM(I3112:I3122)/2</f>
        <v>82840.44</v>
      </c>
    </row>
    <row r="3124" spans="2:10" ht="15.95" customHeight="1" thickBot="1" x14ac:dyDescent="0.3">
      <c r="C3124" s="147" t="s">
        <v>392</v>
      </c>
      <c r="D3124" s="148" t="s">
        <v>393</v>
      </c>
      <c r="E3124" s="149"/>
      <c r="F3124" s="149"/>
      <c r="G3124" s="164">
        <v>0.1</v>
      </c>
      <c r="H3124" s="151"/>
      <c r="I3124" s="146">
        <f>G3124*I3123</f>
        <v>8284.0439999999999</v>
      </c>
    </row>
    <row r="3125" spans="2:10" ht="15.95" customHeight="1" thickBot="1" x14ac:dyDescent="0.3">
      <c r="C3125" s="111" t="s">
        <v>394</v>
      </c>
      <c r="D3125" s="112" t="s">
        <v>395</v>
      </c>
      <c r="E3125" s="134"/>
      <c r="F3125" s="134"/>
      <c r="G3125" s="156"/>
      <c r="H3125" s="136">
        <f>IF(AND(D3125&lt;&gt;"",F3125&lt;&gt;""),IF(C3125="",IF(F3125="OH",VLOOKUP(D3125,[1]UPAH!$B$3:$G$32,7,0),VLOOKUP(D3125,[1]BAHAN!$A$2:$D$3,4,0)),0),0)</f>
        <v>0</v>
      </c>
      <c r="I3125" s="137">
        <f>ROUNDDOWN(I3123+I3124,0)</f>
        <v>91124</v>
      </c>
    </row>
    <row r="3126" spans="2:10" ht="15.95" customHeight="1" x14ac:dyDescent="0.25">
      <c r="C3126" s="109"/>
      <c r="D3126" s="109"/>
      <c r="G3126" s="157"/>
    </row>
    <row r="3127" spans="2:10" ht="15.95" customHeight="1" thickBot="1" x14ac:dyDescent="0.3">
      <c r="B3127" s="247" t="s">
        <v>891</v>
      </c>
      <c r="C3127" s="104" t="s">
        <v>892</v>
      </c>
      <c r="G3127" s="157"/>
      <c r="J3127" s="110">
        <f>I3143</f>
        <v>89498</v>
      </c>
    </row>
    <row r="3128" spans="2:10" ht="15.95" customHeight="1" thickBot="1" x14ac:dyDescent="0.3">
      <c r="C3128" s="111" t="s">
        <v>328</v>
      </c>
      <c r="D3128" s="112" t="s">
        <v>359</v>
      </c>
      <c r="E3128" s="113" t="s">
        <v>360</v>
      </c>
      <c r="F3128" s="113" t="s">
        <v>330</v>
      </c>
      <c r="G3128" s="114" t="s">
        <v>361</v>
      </c>
      <c r="H3128" s="112" t="s">
        <v>362</v>
      </c>
      <c r="I3128" s="115" t="s">
        <v>363</v>
      </c>
    </row>
    <row r="3129" spans="2:10" ht="15.95" customHeight="1" x14ac:dyDescent="0.25">
      <c r="C3129" s="116" t="s">
        <v>364</v>
      </c>
      <c r="D3129" s="117" t="s">
        <v>365</v>
      </c>
      <c r="E3129" s="118"/>
      <c r="F3129" s="118"/>
      <c r="G3129" s="165"/>
      <c r="H3129" s="144"/>
      <c r="I3129" s="126"/>
    </row>
    <row r="3130" spans="2:10" ht="15.95" customHeight="1" x14ac:dyDescent="0.25">
      <c r="C3130" s="122"/>
      <c r="D3130" s="117" t="s">
        <v>366</v>
      </c>
      <c r="E3130" s="123" t="s">
        <v>367</v>
      </c>
      <c r="F3130" s="123" t="s">
        <v>368</v>
      </c>
      <c r="G3130" s="124">
        <v>0.3</v>
      </c>
      <c r="H3130" s="125">
        <f>VLOOKUP(D3130,Upah,8,FALSE)</f>
        <v>125000</v>
      </c>
      <c r="I3130" s="126">
        <f>G3130*H3130</f>
        <v>37500</v>
      </c>
    </row>
    <row r="3131" spans="2:10" ht="15.95" customHeight="1" x14ac:dyDescent="0.25">
      <c r="C3131" s="122"/>
      <c r="D3131" s="117" t="s">
        <v>505</v>
      </c>
      <c r="E3131" s="123" t="s">
        <v>414</v>
      </c>
      <c r="F3131" s="123" t="s">
        <v>368</v>
      </c>
      <c r="G3131" s="124">
        <v>0.15</v>
      </c>
      <c r="H3131" s="125">
        <f>VLOOKUP(D3131,Upah,8,FALSE)</f>
        <v>150000</v>
      </c>
      <c r="I3131" s="126">
        <f>G3131*H3131</f>
        <v>22500</v>
      </c>
    </row>
    <row r="3132" spans="2:10" ht="15.95" customHeight="1" x14ac:dyDescent="0.25">
      <c r="C3132" s="122"/>
      <c r="D3132" s="117" t="s">
        <v>371</v>
      </c>
      <c r="E3132" s="123" t="s">
        <v>372</v>
      </c>
      <c r="F3132" s="123" t="s">
        <v>368</v>
      </c>
      <c r="G3132" s="124">
        <v>1.4999999999999999E-2</v>
      </c>
      <c r="H3132" s="125">
        <f>VLOOKUP(D3132,Upah,8,FALSE)</f>
        <v>165000</v>
      </c>
      <c r="I3132" s="126">
        <f>G3132*H3132</f>
        <v>2475</v>
      </c>
    </row>
    <row r="3133" spans="2:10" ht="15.95" customHeight="1" thickBot="1" x14ac:dyDescent="0.3">
      <c r="C3133" s="122"/>
      <c r="D3133" s="117" t="s">
        <v>373</v>
      </c>
      <c r="E3133" s="123" t="s">
        <v>374</v>
      </c>
      <c r="F3133" s="123" t="s">
        <v>368</v>
      </c>
      <c r="G3133" s="124">
        <v>1.4999999999999999E-2</v>
      </c>
      <c r="H3133" s="125">
        <f>VLOOKUP(D3133,Upah,8,FALSE)</f>
        <v>170000</v>
      </c>
      <c r="I3133" s="126">
        <f>G3133*H3133</f>
        <v>2550</v>
      </c>
    </row>
    <row r="3134" spans="2:10" ht="15.95" customHeight="1" thickBot="1" x14ac:dyDescent="0.3">
      <c r="C3134" s="132"/>
      <c r="D3134" s="133"/>
      <c r="E3134" s="134"/>
      <c r="F3134" s="134"/>
      <c r="G3134" s="135" t="s">
        <v>375</v>
      </c>
      <c r="H3134" s="136"/>
      <c r="I3134" s="137">
        <f>SUM(I3130:I3133)</f>
        <v>65025</v>
      </c>
    </row>
    <row r="3135" spans="2:10" ht="15.95" customHeight="1" x14ac:dyDescent="0.25">
      <c r="C3135" s="116" t="s">
        <v>376</v>
      </c>
      <c r="D3135" s="117" t="s">
        <v>377</v>
      </c>
      <c r="E3135" s="118"/>
      <c r="F3135" s="118"/>
      <c r="G3135" s="165"/>
      <c r="H3135" s="144"/>
      <c r="I3135" s="126"/>
    </row>
    <row r="3136" spans="2:10" ht="15.95" customHeight="1" x14ac:dyDescent="0.25">
      <c r="C3136" s="122"/>
      <c r="D3136" s="117" t="s">
        <v>380</v>
      </c>
      <c r="E3136" s="118"/>
      <c r="F3136" s="123" t="s">
        <v>159</v>
      </c>
      <c r="G3136" s="124">
        <v>5.1840000000000002</v>
      </c>
      <c r="H3136" s="144">
        <f>VLOOKUP(D3136,Bahan,6,FALSE)</f>
        <v>1880</v>
      </c>
      <c r="I3136" s="126">
        <f>G3136*H3136</f>
        <v>9745.92</v>
      </c>
    </row>
    <row r="3137" spans="2:10" ht="15.95" customHeight="1" thickBot="1" x14ac:dyDescent="0.3">
      <c r="C3137" s="122"/>
      <c r="D3137" s="117" t="s">
        <v>493</v>
      </c>
      <c r="E3137" s="118"/>
      <c r="F3137" s="123" t="s">
        <v>158</v>
      </c>
      <c r="G3137" s="124">
        <v>2.5999999999999999E-2</v>
      </c>
      <c r="H3137" s="144">
        <f>VLOOKUP(D3137,Bahan,6,FALSE)</f>
        <v>253510</v>
      </c>
      <c r="I3137" s="126">
        <f>G3137*H3137</f>
        <v>6591.2599999999993</v>
      </c>
    </row>
    <row r="3138" spans="2:10" ht="15.95" customHeight="1" thickBot="1" x14ac:dyDescent="0.3">
      <c r="C3138" s="132"/>
      <c r="D3138" s="133"/>
      <c r="E3138" s="134"/>
      <c r="F3138" s="134"/>
      <c r="G3138" s="135" t="s">
        <v>386</v>
      </c>
      <c r="H3138" s="136"/>
      <c r="I3138" s="137">
        <f>SUM(I3136:I3137)</f>
        <v>16337.18</v>
      </c>
    </row>
    <row r="3139" spans="2:10" ht="15.95" customHeight="1" thickBot="1" x14ac:dyDescent="0.3">
      <c r="C3139" s="116" t="s">
        <v>387</v>
      </c>
      <c r="D3139" s="117" t="s">
        <v>388</v>
      </c>
      <c r="E3139" s="118"/>
      <c r="F3139" s="118"/>
      <c r="G3139" s="165"/>
      <c r="H3139" s="144">
        <f>IF(AND(D3139&lt;&gt;"",F3139&lt;&gt;""),IF(C3139="",IF(F3139="OH",VLOOKUP(D3139,[1]UPAH!$B$3:$G$32,7,0),VLOOKUP(D3139,[1]BAHAN!$A$2:$D$3,4,0)),0),0)</f>
        <v>0</v>
      </c>
      <c r="I3139" s="126">
        <f>G3139*H3139</f>
        <v>0</v>
      </c>
    </row>
    <row r="3140" spans="2:10" ht="15.95" customHeight="1" thickBot="1" x14ac:dyDescent="0.3">
      <c r="C3140" s="132"/>
      <c r="D3140" s="133"/>
      <c r="E3140" s="134"/>
      <c r="F3140" s="134"/>
      <c r="G3140" s="135" t="s">
        <v>389</v>
      </c>
      <c r="H3140" s="136"/>
      <c r="I3140" s="137">
        <f>I3139</f>
        <v>0</v>
      </c>
    </row>
    <row r="3141" spans="2:10" ht="15.95" customHeight="1" x14ac:dyDescent="0.25">
      <c r="C3141" s="158" t="s">
        <v>390</v>
      </c>
      <c r="D3141" s="159" t="s">
        <v>391</v>
      </c>
      <c r="E3141" s="160"/>
      <c r="F3141" s="160"/>
      <c r="G3141" s="161"/>
      <c r="H3141" s="162">
        <f>IF(AND(D3141&lt;&gt;"",F3141&lt;&gt;""),IF(C3141="",IF(F3141="OH",VLOOKUP(D3141,[1]UPAH!$B$3:$G$32,7,0),VLOOKUP(D3141,[1]BAHAN!$A$2:$D$3,4,0)),0),0)</f>
        <v>0</v>
      </c>
      <c r="I3141" s="126">
        <f>SUM(I3130:I3140)/2</f>
        <v>81362.180000000008</v>
      </c>
    </row>
    <row r="3142" spans="2:10" ht="15.95" customHeight="1" thickBot="1" x14ac:dyDescent="0.3">
      <c r="C3142" s="147" t="s">
        <v>392</v>
      </c>
      <c r="D3142" s="148" t="s">
        <v>393</v>
      </c>
      <c r="E3142" s="149"/>
      <c r="F3142" s="149"/>
      <c r="G3142" s="164">
        <v>0.1</v>
      </c>
      <c r="H3142" s="151"/>
      <c r="I3142" s="146">
        <f>G3142*I3141</f>
        <v>8136.2180000000008</v>
      </c>
    </row>
    <row r="3143" spans="2:10" ht="15.95" customHeight="1" thickBot="1" x14ac:dyDescent="0.3">
      <c r="C3143" s="111" t="s">
        <v>394</v>
      </c>
      <c r="D3143" s="112" t="s">
        <v>395</v>
      </c>
      <c r="E3143" s="134"/>
      <c r="F3143" s="134"/>
      <c r="G3143" s="156"/>
      <c r="H3143" s="136">
        <f>IF(AND(D3143&lt;&gt;"",F3143&lt;&gt;""),IF(C3143="",IF(F3143="OH",VLOOKUP(D3143,[1]UPAH!$B$3:$G$32,7,0),VLOOKUP(D3143,[1]BAHAN!$A$2:$D$3,4,0)),0),0)</f>
        <v>0</v>
      </c>
      <c r="I3143" s="137">
        <f>ROUNDDOWN(I3141+I3142,0)</f>
        <v>89498</v>
      </c>
    </row>
    <row r="3144" spans="2:10" ht="15.95" customHeight="1" x14ac:dyDescent="0.25">
      <c r="C3144" s="109"/>
      <c r="D3144" s="109"/>
      <c r="G3144" s="157"/>
    </row>
    <row r="3145" spans="2:10" ht="15.95" customHeight="1" thickBot="1" x14ac:dyDescent="0.3">
      <c r="B3145" s="109" t="s">
        <v>893</v>
      </c>
      <c r="C3145" s="104" t="s">
        <v>894</v>
      </c>
      <c r="G3145" s="157"/>
      <c r="J3145" s="110">
        <f>I3161</f>
        <v>88189</v>
      </c>
    </row>
    <row r="3146" spans="2:10" ht="15.95" customHeight="1" thickBot="1" x14ac:dyDescent="0.3">
      <c r="C3146" s="111" t="s">
        <v>328</v>
      </c>
      <c r="D3146" s="112" t="s">
        <v>359</v>
      </c>
      <c r="E3146" s="113" t="s">
        <v>360</v>
      </c>
      <c r="F3146" s="113" t="s">
        <v>330</v>
      </c>
      <c r="G3146" s="114" t="s">
        <v>361</v>
      </c>
      <c r="H3146" s="112" t="s">
        <v>362</v>
      </c>
      <c r="I3146" s="115" t="s">
        <v>363</v>
      </c>
    </row>
    <row r="3147" spans="2:10" ht="15.95" customHeight="1" x14ac:dyDescent="0.25">
      <c r="C3147" s="116" t="s">
        <v>364</v>
      </c>
      <c r="D3147" s="117" t="s">
        <v>365</v>
      </c>
      <c r="E3147" s="118"/>
      <c r="F3147" s="118"/>
      <c r="G3147" s="165"/>
      <c r="H3147" s="144"/>
      <c r="I3147" s="126"/>
    </row>
    <row r="3148" spans="2:10" ht="15.95" customHeight="1" x14ac:dyDescent="0.25">
      <c r="C3148" s="122"/>
      <c r="D3148" s="117" t="s">
        <v>366</v>
      </c>
      <c r="E3148" s="123" t="s">
        <v>367</v>
      </c>
      <c r="F3148" s="123" t="s">
        <v>368</v>
      </c>
      <c r="G3148" s="124">
        <v>0.3</v>
      </c>
      <c r="H3148" s="125">
        <f>VLOOKUP(D3148,Upah,8,FALSE)</f>
        <v>125000</v>
      </c>
      <c r="I3148" s="126">
        <f>G3148*H3148</f>
        <v>37500</v>
      </c>
    </row>
    <row r="3149" spans="2:10" ht="15.95" customHeight="1" x14ac:dyDescent="0.25">
      <c r="C3149" s="122"/>
      <c r="D3149" s="117" t="s">
        <v>505</v>
      </c>
      <c r="E3149" s="123" t="s">
        <v>414</v>
      </c>
      <c r="F3149" s="123" t="s">
        <v>368</v>
      </c>
      <c r="G3149" s="124">
        <v>0.15</v>
      </c>
      <c r="H3149" s="125">
        <f>VLOOKUP(D3149,Upah,8,FALSE)</f>
        <v>150000</v>
      </c>
      <c r="I3149" s="126">
        <f>G3149*H3149</f>
        <v>22500</v>
      </c>
    </row>
    <row r="3150" spans="2:10" ht="15.95" customHeight="1" x14ac:dyDescent="0.25">
      <c r="C3150" s="122"/>
      <c r="D3150" s="117" t="s">
        <v>371</v>
      </c>
      <c r="E3150" s="123" t="s">
        <v>372</v>
      </c>
      <c r="F3150" s="123" t="s">
        <v>368</v>
      </c>
      <c r="G3150" s="124">
        <v>1.4999999999999999E-2</v>
      </c>
      <c r="H3150" s="125">
        <f>VLOOKUP(D3150,Upah,8,FALSE)</f>
        <v>165000</v>
      </c>
      <c r="I3150" s="126">
        <f>G3150*H3150</f>
        <v>2475</v>
      </c>
    </row>
    <row r="3151" spans="2:10" ht="15.95" customHeight="1" thickBot="1" x14ac:dyDescent="0.3">
      <c r="C3151" s="122"/>
      <c r="D3151" s="117" t="s">
        <v>373</v>
      </c>
      <c r="E3151" s="123" t="s">
        <v>374</v>
      </c>
      <c r="F3151" s="123" t="s">
        <v>368</v>
      </c>
      <c r="G3151" s="124">
        <v>1.4999999999999999E-2</v>
      </c>
      <c r="H3151" s="125">
        <f>VLOOKUP(D3151,Upah,8,FALSE)</f>
        <v>170000</v>
      </c>
      <c r="I3151" s="126">
        <f>G3151*H3151</f>
        <v>2550</v>
      </c>
    </row>
    <row r="3152" spans="2:10" ht="15.95" customHeight="1" thickBot="1" x14ac:dyDescent="0.3">
      <c r="C3152" s="132"/>
      <c r="D3152" s="133"/>
      <c r="E3152" s="134"/>
      <c r="F3152" s="134"/>
      <c r="G3152" s="135" t="s">
        <v>375</v>
      </c>
      <c r="H3152" s="136"/>
      <c r="I3152" s="137">
        <f>SUM(I3148:I3151)</f>
        <v>65025</v>
      </c>
    </row>
    <row r="3153" spans="2:10" ht="15.95" customHeight="1" x14ac:dyDescent="0.25">
      <c r="C3153" s="116" t="s">
        <v>376</v>
      </c>
      <c r="D3153" s="117" t="s">
        <v>377</v>
      </c>
      <c r="E3153" s="118"/>
      <c r="F3153" s="118"/>
      <c r="G3153" s="165"/>
      <c r="H3153" s="144"/>
      <c r="I3153" s="126"/>
    </row>
    <row r="3154" spans="2:10" ht="15.95" customHeight="1" x14ac:dyDescent="0.25">
      <c r="C3154" s="122"/>
      <c r="D3154" s="117" t="s">
        <v>380</v>
      </c>
      <c r="E3154" s="118"/>
      <c r="F3154" s="123" t="s">
        <v>159</v>
      </c>
      <c r="G3154" s="124">
        <v>4.4160000000000004</v>
      </c>
      <c r="H3154" s="144">
        <f>VLOOKUP(D3154,Bahan,6,FALSE)</f>
        <v>1880</v>
      </c>
      <c r="I3154" s="126">
        <f>G3154*H3154</f>
        <v>8302.08</v>
      </c>
    </row>
    <row r="3155" spans="2:10" ht="15.95" customHeight="1" thickBot="1" x14ac:dyDescent="0.3">
      <c r="C3155" s="122"/>
      <c r="D3155" s="117" t="s">
        <v>493</v>
      </c>
      <c r="E3155" s="118"/>
      <c r="F3155" s="123" t="s">
        <v>158</v>
      </c>
      <c r="G3155" s="124">
        <v>2.7E-2</v>
      </c>
      <c r="H3155" s="144">
        <f>VLOOKUP(D3155,Bahan,6,FALSE)</f>
        <v>253510</v>
      </c>
      <c r="I3155" s="126">
        <f>G3155*H3155</f>
        <v>6844.7699999999995</v>
      </c>
    </row>
    <row r="3156" spans="2:10" ht="15.95" customHeight="1" thickBot="1" x14ac:dyDescent="0.3">
      <c r="C3156" s="132"/>
      <c r="D3156" s="133"/>
      <c r="E3156" s="134"/>
      <c r="F3156" s="134"/>
      <c r="G3156" s="135" t="s">
        <v>386</v>
      </c>
      <c r="H3156" s="136"/>
      <c r="I3156" s="137">
        <f>SUM(I3154:I3155)</f>
        <v>15146.849999999999</v>
      </c>
    </row>
    <row r="3157" spans="2:10" ht="15.95" customHeight="1" thickBot="1" x14ac:dyDescent="0.3">
      <c r="C3157" s="116" t="s">
        <v>387</v>
      </c>
      <c r="D3157" s="117" t="s">
        <v>388</v>
      </c>
      <c r="E3157" s="118"/>
      <c r="F3157" s="118"/>
      <c r="G3157" s="165"/>
      <c r="H3157" s="144">
        <f>IF(AND(D3157&lt;&gt;"",F3157&lt;&gt;""),IF(C3157="",IF(F3157="OH",VLOOKUP(D3157,[1]UPAH!$B$3:$G$32,7,0),VLOOKUP(D3157,[1]BAHAN!$A$2:$D$3,4,0)),0),0)</f>
        <v>0</v>
      </c>
      <c r="I3157" s="126">
        <f>G3157*H3157</f>
        <v>0</v>
      </c>
    </row>
    <row r="3158" spans="2:10" ht="15.95" customHeight="1" thickBot="1" x14ac:dyDescent="0.3">
      <c r="C3158" s="132"/>
      <c r="D3158" s="133"/>
      <c r="E3158" s="134"/>
      <c r="F3158" s="134"/>
      <c r="G3158" s="135" t="s">
        <v>389</v>
      </c>
      <c r="H3158" s="136"/>
      <c r="I3158" s="137">
        <f>I3157</f>
        <v>0</v>
      </c>
    </row>
    <row r="3159" spans="2:10" ht="15.95" customHeight="1" x14ac:dyDescent="0.25">
      <c r="C3159" s="158" t="s">
        <v>390</v>
      </c>
      <c r="D3159" s="159" t="s">
        <v>391</v>
      </c>
      <c r="E3159" s="160"/>
      <c r="F3159" s="160"/>
      <c r="G3159" s="161"/>
      <c r="H3159" s="162">
        <f>IF(AND(D3159&lt;&gt;"",F3159&lt;&gt;""),IF(C3159="",IF(F3159="OH",VLOOKUP(D3159,[1]UPAH!$B$3:$G$32,7,0),VLOOKUP(D3159,[1]BAHAN!$A$2:$D$3,4,0)),0),0)</f>
        <v>0</v>
      </c>
      <c r="I3159" s="126">
        <f>SUM(I3148:I3158)/2</f>
        <v>80171.849999999991</v>
      </c>
    </row>
    <row r="3160" spans="2:10" ht="15.95" customHeight="1" thickBot="1" x14ac:dyDescent="0.3">
      <c r="C3160" s="147" t="s">
        <v>392</v>
      </c>
      <c r="D3160" s="148" t="s">
        <v>393</v>
      </c>
      <c r="E3160" s="149"/>
      <c r="F3160" s="149"/>
      <c r="G3160" s="164">
        <v>0.1</v>
      </c>
      <c r="H3160" s="151"/>
      <c r="I3160" s="146">
        <f>G3160*I3159</f>
        <v>8017.1849999999995</v>
      </c>
    </row>
    <row r="3161" spans="2:10" ht="15.95" customHeight="1" thickBot="1" x14ac:dyDescent="0.3">
      <c r="C3161" s="111" t="s">
        <v>394</v>
      </c>
      <c r="D3161" s="112" t="s">
        <v>395</v>
      </c>
      <c r="E3161" s="134"/>
      <c r="F3161" s="134"/>
      <c r="G3161" s="156"/>
      <c r="H3161" s="136">
        <f>IF(AND(D3161&lt;&gt;"",F3161&lt;&gt;""),IF(C3161="",IF(F3161="OH",VLOOKUP(D3161,[1]UPAH!$B$3:$G$32,7,0),VLOOKUP(D3161,[1]BAHAN!$A$2:$D$3,4,0)),0),0)</f>
        <v>0</v>
      </c>
      <c r="I3161" s="137">
        <f>ROUNDDOWN(I3159+I3160,0)</f>
        <v>88189</v>
      </c>
    </row>
    <row r="3162" spans="2:10" ht="15.95" customHeight="1" x14ac:dyDescent="0.25">
      <c r="C3162" s="109"/>
      <c r="D3162" s="109"/>
      <c r="G3162" s="157"/>
    </row>
    <row r="3163" spans="2:10" ht="15.95" customHeight="1" thickBot="1" x14ac:dyDescent="0.3">
      <c r="B3163" s="109" t="s">
        <v>895</v>
      </c>
      <c r="C3163" s="104" t="s">
        <v>896</v>
      </c>
      <c r="G3163" s="157"/>
      <c r="J3163" s="110">
        <f>I3179</f>
        <v>87475</v>
      </c>
    </row>
    <row r="3164" spans="2:10" ht="15.95" customHeight="1" thickBot="1" x14ac:dyDescent="0.3">
      <c r="C3164" s="111" t="s">
        <v>328</v>
      </c>
      <c r="D3164" s="112" t="s">
        <v>359</v>
      </c>
      <c r="E3164" s="113" t="s">
        <v>360</v>
      </c>
      <c r="F3164" s="113" t="s">
        <v>330</v>
      </c>
      <c r="G3164" s="114" t="s">
        <v>361</v>
      </c>
      <c r="H3164" s="112" t="s">
        <v>362</v>
      </c>
      <c r="I3164" s="115" t="s">
        <v>363</v>
      </c>
    </row>
    <row r="3165" spans="2:10" ht="15.95" customHeight="1" x14ac:dyDescent="0.25">
      <c r="C3165" s="116" t="s">
        <v>364</v>
      </c>
      <c r="D3165" s="117" t="s">
        <v>365</v>
      </c>
      <c r="E3165" s="118"/>
      <c r="F3165" s="118"/>
      <c r="G3165" s="165"/>
      <c r="H3165" s="144"/>
      <c r="I3165" s="126"/>
    </row>
    <row r="3166" spans="2:10" ht="15.95" customHeight="1" x14ac:dyDescent="0.25">
      <c r="C3166" s="122"/>
      <c r="D3166" s="117" t="s">
        <v>366</v>
      </c>
      <c r="E3166" s="123" t="s">
        <v>367</v>
      </c>
      <c r="F3166" s="123" t="s">
        <v>368</v>
      </c>
      <c r="G3166" s="124">
        <v>0.3</v>
      </c>
      <c r="H3166" s="125">
        <f>VLOOKUP(D3166,Upah,8,FALSE)</f>
        <v>125000</v>
      </c>
      <c r="I3166" s="126">
        <f>G3166*H3166</f>
        <v>37500</v>
      </c>
    </row>
    <row r="3167" spans="2:10" ht="15.95" customHeight="1" x14ac:dyDescent="0.25">
      <c r="C3167" s="122"/>
      <c r="D3167" s="117" t="s">
        <v>505</v>
      </c>
      <c r="E3167" s="123" t="s">
        <v>414</v>
      </c>
      <c r="F3167" s="123" t="s">
        <v>368</v>
      </c>
      <c r="G3167" s="124">
        <v>0.15</v>
      </c>
      <c r="H3167" s="125">
        <f>VLOOKUP(D3167,Upah,8,FALSE)</f>
        <v>150000</v>
      </c>
      <c r="I3167" s="126">
        <f>G3167*H3167</f>
        <v>22500</v>
      </c>
    </row>
    <row r="3168" spans="2:10" ht="15.95" customHeight="1" x14ac:dyDescent="0.25">
      <c r="C3168" s="122"/>
      <c r="D3168" s="117" t="s">
        <v>371</v>
      </c>
      <c r="E3168" s="123" t="s">
        <v>372</v>
      </c>
      <c r="F3168" s="123" t="s">
        <v>368</v>
      </c>
      <c r="G3168" s="124">
        <v>1.4999999999999999E-2</v>
      </c>
      <c r="H3168" s="125">
        <f>VLOOKUP(D3168,Upah,8,FALSE)</f>
        <v>165000</v>
      </c>
      <c r="I3168" s="126">
        <f>G3168*H3168</f>
        <v>2475</v>
      </c>
    </row>
    <row r="3169" spans="2:10" ht="15.95" customHeight="1" thickBot="1" x14ac:dyDescent="0.3">
      <c r="C3169" s="122"/>
      <c r="D3169" s="117" t="s">
        <v>373</v>
      </c>
      <c r="E3169" s="123" t="s">
        <v>374</v>
      </c>
      <c r="F3169" s="123" t="s">
        <v>368</v>
      </c>
      <c r="G3169" s="124">
        <v>1.4999999999999999E-2</v>
      </c>
      <c r="H3169" s="125">
        <f>VLOOKUP(D3169,Upah,8,FALSE)</f>
        <v>170000</v>
      </c>
      <c r="I3169" s="126">
        <f>G3169*H3169</f>
        <v>2550</v>
      </c>
    </row>
    <row r="3170" spans="2:10" ht="15.95" customHeight="1" thickBot="1" x14ac:dyDescent="0.3">
      <c r="C3170" s="132"/>
      <c r="D3170" s="133"/>
      <c r="E3170" s="134"/>
      <c r="F3170" s="134"/>
      <c r="G3170" s="135" t="s">
        <v>375</v>
      </c>
      <c r="H3170" s="136"/>
      <c r="I3170" s="137">
        <f>SUM(I3166:I3169)</f>
        <v>65025</v>
      </c>
    </row>
    <row r="3171" spans="2:10" ht="15.95" customHeight="1" x14ac:dyDescent="0.25">
      <c r="C3171" s="116" t="s">
        <v>376</v>
      </c>
      <c r="D3171" s="117" t="s">
        <v>377</v>
      </c>
      <c r="E3171" s="118"/>
      <c r="F3171" s="118"/>
      <c r="G3171" s="165"/>
      <c r="H3171" s="144"/>
      <c r="I3171" s="126"/>
    </row>
    <row r="3172" spans="2:10" ht="15.95" customHeight="1" x14ac:dyDescent="0.25">
      <c r="C3172" s="122"/>
      <c r="D3172" s="117" t="s">
        <v>380</v>
      </c>
      <c r="E3172" s="118"/>
      <c r="F3172" s="123" t="s">
        <v>159</v>
      </c>
      <c r="G3172" s="124">
        <v>3.9359999999999999</v>
      </c>
      <c r="H3172" s="144">
        <f>VLOOKUP(D3172,Bahan,6,FALSE)</f>
        <v>1880</v>
      </c>
      <c r="I3172" s="126">
        <f>G3172*H3172</f>
        <v>7399.68</v>
      </c>
    </row>
    <row r="3173" spans="2:10" ht="15.95" customHeight="1" thickBot="1" x14ac:dyDescent="0.3">
      <c r="C3173" s="122"/>
      <c r="D3173" s="117" t="s">
        <v>493</v>
      </c>
      <c r="E3173" s="118"/>
      <c r="F3173" s="123" t="s">
        <v>158</v>
      </c>
      <c r="G3173" s="124">
        <v>2.8000000000000001E-2</v>
      </c>
      <c r="H3173" s="144">
        <f>VLOOKUP(D3173,Bahan,6,FALSE)</f>
        <v>253510</v>
      </c>
      <c r="I3173" s="126">
        <f>G3173*H3173</f>
        <v>7098.28</v>
      </c>
    </row>
    <row r="3174" spans="2:10" ht="15.95" customHeight="1" thickBot="1" x14ac:dyDescent="0.3">
      <c r="C3174" s="132"/>
      <c r="D3174" s="133"/>
      <c r="E3174" s="134"/>
      <c r="F3174" s="134"/>
      <c r="G3174" s="135" t="s">
        <v>386</v>
      </c>
      <c r="H3174" s="136"/>
      <c r="I3174" s="137">
        <f>SUM(I3172:I3173)</f>
        <v>14497.96</v>
      </c>
    </row>
    <row r="3175" spans="2:10" ht="15.95" customHeight="1" thickBot="1" x14ac:dyDescent="0.3">
      <c r="C3175" s="116" t="s">
        <v>387</v>
      </c>
      <c r="D3175" s="117" t="s">
        <v>388</v>
      </c>
      <c r="E3175" s="118"/>
      <c r="F3175" s="118"/>
      <c r="G3175" s="165"/>
      <c r="H3175" s="144">
        <f>IF(AND(D3175&lt;&gt;"",F3175&lt;&gt;""),IF(C3175="",IF(F3175="OH",VLOOKUP(D3175,[1]UPAH!$B$3:$G$32,7,0),VLOOKUP(D3175,[1]BAHAN!$A$2:$D$3,4,0)),0),0)</f>
        <v>0</v>
      </c>
      <c r="I3175" s="126">
        <f>G3175*H3175</f>
        <v>0</v>
      </c>
    </row>
    <row r="3176" spans="2:10" ht="15.95" customHeight="1" thickBot="1" x14ac:dyDescent="0.3">
      <c r="C3176" s="132"/>
      <c r="D3176" s="133"/>
      <c r="E3176" s="134"/>
      <c r="F3176" s="134"/>
      <c r="G3176" s="135" t="s">
        <v>389</v>
      </c>
      <c r="H3176" s="136"/>
      <c r="I3176" s="137">
        <f>I3175</f>
        <v>0</v>
      </c>
    </row>
    <row r="3177" spans="2:10" ht="15.95" customHeight="1" x14ac:dyDescent="0.25">
      <c r="C3177" s="158" t="s">
        <v>390</v>
      </c>
      <c r="D3177" s="159" t="s">
        <v>391</v>
      </c>
      <c r="E3177" s="160"/>
      <c r="F3177" s="160"/>
      <c r="G3177" s="161"/>
      <c r="H3177" s="162">
        <f>IF(AND(D3177&lt;&gt;"",F3177&lt;&gt;""),IF(C3177="",IF(F3177="OH",VLOOKUP(D3177,[1]UPAH!$B$3:$G$32,7,0),VLOOKUP(D3177,[1]BAHAN!$A$2:$D$3,4,0)),0),0)</f>
        <v>0</v>
      </c>
      <c r="I3177" s="126">
        <f>SUM(I3166:I3176)/2</f>
        <v>79522.959999999992</v>
      </c>
    </row>
    <row r="3178" spans="2:10" ht="15.95" customHeight="1" thickBot="1" x14ac:dyDescent="0.3">
      <c r="C3178" s="147" t="s">
        <v>392</v>
      </c>
      <c r="D3178" s="148" t="s">
        <v>393</v>
      </c>
      <c r="E3178" s="149"/>
      <c r="F3178" s="149"/>
      <c r="G3178" s="164">
        <v>0.1</v>
      </c>
      <c r="H3178" s="151"/>
      <c r="I3178" s="146">
        <f>G3178*I3177</f>
        <v>7952.2959999999994</v>
      </c>
    </row>
    <row r="3179" spans="2:10" ht="15.95" customHeight="1" thickBot="1" x14ac:dyDescent="0.3">
      <c r="C3179" s="111" t="s">
        <v>394</v>
      </c>
      <c r="D3179" s="112" t="s">
        <v>395</v>
      </c>
      <c r="E3179" s="134"/>
      <c r="F3179" s="134"/>
      <c r="G3179" s="156"/>
      <c r="H3179" s="136">
        <f>IF(AND(D3179&lt;&gt;"",F3179&lt;&gt;""),IF(C3179="",IF(F3179="OH",VLOOKUP(D3179,[1]UPAH!$B$3:$G$32,7,0),VLOOKUP(D3179,[1]BAHAN!$A$2:$D$3,4,0)),0),0)</f>
        <v>0</v>
      </c>
      <c r="I3179" s="137">
        <f>ROUNDDOWN(I3177+I3178,0)</f>
        <v>87475</v>
      </c>
    </row>
    <row r="3180" spans="2:10" ht="15.95" customHeight="1" x14ac:dyDescent="0.25">
      <c r="C3180" s="109"/>
      <c r="D3180" s="109"/>
      <c r="G3180" s="157"/>
    </row>
    <row r="3181" spans="2:10" ht="15.95" customHeight="1" thickBot="1" x14ac:dyDescent="0.3">
      <c r="B3181" s="109" t="s">
        <v>897</v>
      </c>
      <c r="C3181" s="104" t="s">
        <v>898</v>
      </c>
      <c r="G3181" s="157"/>
      <c r="J3181" s="110">
        <f>I3197</f>
        <v>86761</v>
      </c>
    </row>
    <row r="3182" spans="2:10" ht="15.95" customHeight="1" thickBot="1" x14ac:dyDescent="0.3">
      <c r="C3182" s="111" t="s">
        <v>328</v>
      </c>
      <c r="D3182" s="112" t="s">
        <v>359</v>
      </c>
      <c r="E3182" s="113" t="s">
        <v>360</v>
      </c>
      <c r="F3182" s="113" t="s">
        <v>330</v>
      </c>
      <c r="G3182" s="114" t="s">
        <v>361</v>
      </c>
      <c r="H3182" s="112" t="s">
        <v>362</v>
      </c>
      <c r="I3182" s="115" t="s">
        <v>363</v>
      </c>
    </row>
    <row r="3183" spans="2:10" ht="15.95" customHeight="1" x14ac:dyDescent="0.25">
      <c r="C3183" s="116" t="s">
        <v>364</v>
      </c>
      <c r="D3183" s="117" t="s">
        <v>365</v>
      </c>
      <c r="E3183" s="118"/>
      <c r="F3183" s="118"/>
      <c r="G3183" s="165"/>
      <c r="H3183" s="144"/>
      <c r="I3183" s="126"/>
    </row>
    <row r="3184" spans="2:10" ht="15.95" customHeight="1" x14ac:dyDescent="0.25">
      <c r="C3184" s="122"/>
      <c r="D3184" s="117" t="s">
        <v>366</v>
      </c>
      <c r="E3184" s="123" t="s">
        <v>367</v>
      </c>
      <c r="F3184" s="123" t="s">
        <v>368</v>
      </c>
      <c r="G3184" s="124">
        <v>0.3</v>
      </c>
      <c r="H3184" s="125">
        <f>VLOOKUP(D3184,Upah,8,FALSE)</f>
        <v>125000</v>
      </c>
      <c r="I3184" s="126">
        <f>G3184*H3184</f>
        <v>37500</v>
      </c>
    </row>
    <row r="3185" spans="2:10" ht="15.95" customHeight="1" x14ac:dyDescent="0.25">
      <c r="C3185" s="122"/>
      <c r="D3185" s="117" t="s">
        <v>505</v>
      </c>
      <c r="E3185" s="123" t="s">
        <v>414</v>
      </c>
      <c r="F3185" s="123" t="s">
        <v>368</v>
      </c>
      <c r="G3185" s="124">
        <v>0.15</v>
      </c>
      <c r="H3185" s="125">
        <f>VLOOKUP(D3185,Upah,8,FALSE)</f>
        <v>150000</v>
      </c>
      <c r="I3185" s="126">
        <f>G3185*H3185</f>
        <v>22500</v>
      </c>
    </row>
    <row r="3186" spans="2:10" ht="15.95" customHeight="1" x14ac:dyDescent="0.25">
      <c r="C3186" s="122"/>
      <c r="D3186" s="117" t="s">
        <v>371</v>
      </c>
      <c r="E3186" s="123" t="s">
        <v>372</v>
      </c>
      <c r="F3186" s="123" t="s">
        <v>368</v>
      </c>
      <c r="G3186" s="124">
        <v>1.4999999999999999E-2</v>
      </c>
      <c r="H3186" s="125">
        <f>VLOOKUP(D3186,Upah,8,FALSE)</f>
        <v>165000</v>
      </c>
      <c r="I3186" s="126">
        <f>G3186*H3186</f>
        <v>2475</v>
      </c>
    </row>
    <row r="3187" spans="2:10" ht="15.95" customHeight="1" thickBot="1" x14ac:dyDescent="0.3">
      <c r="C3187" s="122"/>
      <c r="D3187" s="117" t="s">
        <v>373</v>
      </c>
      <c r="E3187" s="123" t="s">
        <v>374</v>
      </c>
      <c r="F3187" s="123" t="s">
        <v>368</v>
      </c>
      <c r="G3187" s="124">
        <v>1.4999999999999999E-2</v>
      </c>
      <c r="H3187" s="125">
        <f>VLOOKUP(D3187,Upah,8,FALSE)</f>
        <v>170000</v>
      </c>
      <c r="I3187" s="126">
        <f>G3187*H3187</f>
        <v>2550</v>
      </c>
    </row>
    <row r="3188" spans="2:10" ht="15.95" customHeight="1" thickBot="1" x14ac:dyDescent="0.3">
      <c r="C3188" s="132"/>
      <c r="D3188" s="133"/>
      <c r="E3188" s="134"/>
      <c r="F3188" s="134"/>
      <c r="G3188" s="135" t="s">
        <v>375</v>
      </c>
      <c r="H3188" s="136"/>
      <c r="I3188" s="137">
        <f>SUM(I3184:I3187)</f>
        <v>65025</v>
      </c>
    </row>
    <row r="3189" spans="2:10" ht="15.95" customHeight="1" x14ac:dyDescent="0.25">
      <c r="C3189" s="116" t="s">
        <v>376</v>
      </c>
      <c r="D3189" s="117" t="s">
        <v>377</v>
      </c>
      <c r="E3189" s="118"/>
      <c r="F3189" s="118"/>
      <c r="G3189" s="165"/>
      <c r="H3189" s="144"/>
      <c r="I3189" s="126"/>
    </row>
    <row r="3190" spans="2:10" ht="15.95" customHeight="1" x14ac:dyDescent="0.25">
      <c r="C3190" s="122"/>
      <c r="D3190" s="117" t="s">
        <v>380</v>
      </c>
      <c r="E3190" s="118"/>
      <c r="F3190" s="123" t="s">
        <v>159</v>
      </c>
      <c r="G3190" s="124">
        <v>3.456</v>
      </c>
      <c r="H3190" s="144">
        <f>VLOOKUP(D3190,Bahan,6,FALSE)</f>
        <v>1880</v>
      </c>
      <c r="I3190" s="126">
        <f>G3190*H3190</f>
        <v>6497.28</v>
      </c>
    </row>
    <row r="3191" spans="2:10" ht="15.95" customHeight="1" thickBot="1" x14ac:dyDescent="0.3">
      <c r="C3191" s="122"/>
      <c r="D3191" s="117" t="s">
        <v>493</v>
      </c>
      <c r="E3191" s="118"/>
      <c r="F3191" s="123" t="s">
        <v>158</v>
      </c>
      <c r="G3191" s="124">
        <v>2.9000000000000001E-2</v>
      </c>
      <c r="H3191" s="144">
        <f>VLOOKUP(D3191,Bahan,6,FALSE)</f>
        <v>253510</v>
      </c>
      <c r="I3191" s="126">
        <f>G3191*H3191</f>
        <v>7351.79</v>
      </c>
    </row>
    <row r="3192" spans="2:10" ht="15.95" customHeight="1" thickBot="1" x14ac:dyDescent="0.3">
      <c r="C3192" s="132"/>
      <c r="D3192" s="133"/>
      <c r="E3192" s="134"/>
      <c r="F3192" s="134"/>
      <c r="G3192" s="135" t="s">
        <v>386</v>
      </c>
      <c r="H3192" s="136"/>
      <c r="I3192" s="137">
        <f>SUM(I3190:I3191)</f>
        <v>13849.07</v>
      </c>
    </row>
    <row r="3193" spans="2:10" ht="15.95" customHeight="1" thickBot="1" x14ac:dyDescent="0.3">
      <c r="C3193" s="116" t="s">
        <v>387</v>
      </c>
      <c r="D3193" s="117" t="s">
        <v>388</v>
      </c>
      <c r="E3193" s="118"/>
      <c r="F3193" s="118"/>
      <c r="G3193" s="165"/>
      <c r="H3193" s="144">
        <f>IF(AND(D3193&lt;&gt;"",F3193&lt;&gt;""),IF(C3193="",IF(F3193="OH",VLOOKUP(D3193,[1]UPAH!$B$3:$G$32,7,0),VLOOKUP(D3193,[1]BAHAN!$A$2:$D$3,4,0)),0),0)</f>
        <v>0</v>
      </c>
      <c r="I3193" s="126">
        <f>G3193*H3193</f>
        <v>0</v>
      </c>
    </row>
    <row r="3194" spans="2:10" ht="15.95" customHeight="1" thickBot="1" x14ac:dyDescent="0.3">
      <c r="C3194" s="132"/>
      <c r="D3194" s="133"/>
      <c r="E3194" s="134"/>
      <c r="F3194" s="134"/>
      <c r="G3194" s="135" t="s">
        <v>389</v>
      </c>
      <c r="H3194" s="136"/>
      <c r="I3194" s="137">
        <f>I3193</f>
        <v>0</v>
      </c>
    </row>
    <row r="3195" spans="2:10" ht="15.95" customHeight="1" x14ac:dyDescent="0.25">
      <c r="C3195" s="158" t="s">
        <v>390</v>
      </c>
      <c r="D3195" s="159" t="s">
        <v>391</v>
      </c>
      <c r="E3195" s="160"/>
      <c r="F3195" s="160"/>
      <c r="G3195" s="161"/>
      <c r="H3195" s="162">
        <f>IF(AND(D3195&lt;&gt;"",F3195&lt;&gt;""),IF(C3195="",IF(F3195="OH",VLOOKUP(D3195,[1]UPAH!$B$3:$G$32,7,0),VLOOKUP(D3195,[1]BAHAN!$A$2:$D$3,4,0)),0),0)</f>
        <v>0</v>
      </c>
      <c r="I3195" s="126">
        <f>SUM(I3184:I3194)/2</f>
        <v>78874.070000000007</v>
      </c>
    </row>
    <row r="3196" spans="2:10" ht="15.95" customHeight="1" thickBot="1" x14ac:dyDescent="0.3">
      <c r="C3196" s="147" t="s">
        <v>392</v>
      </c>
      <c r="D3196" s="148" t="s">
        <v>393</v>
      </c>
      <c r="E3196" s="149"/>
      <c r="F3196" s="149"/>
      <c r="G3196" s="164">
        <v>0.1</v>
      </c>
      <c r="H3196" s="151"/>
      <c r="I3196" s="146">
        <f>G3196*I3195</f>
        <v>7887.4070000000011</v>
      </c>
    </row>
    <row r="3197" spans="2:10" ht="15.95" customHeight="1" thickBot="1" x14ac:dyDescent="0.3">
      <c r="C3197" s="111" t="s">
        <v>394</v>
      </c>
      <c r="D3197" s="112" t="s">
        <v>395</v>
      </c>
      <c r="E3197" s="134"/>
      <c r="F3197" s="134"/>
      <c r="G3197" s="156"/>
      <c r="H3197" s="136">
        <f>IF(AND(D3197&lt;&gt;"",F3197&lt;&gt;""),IF(C3197="",IF(F3197="OH",VLOOKUP(D3197,[1]UPAH!$B$3:$G$32,7,0),VLOOKUP(D3197,[1]BAHAN!$A$2:$D$3,4,0)),0),0)</f>
        <v>0</v>
      </c>
      <c r="I3197" s="137">
        <f>ROUNDDOWN(I3195+I3196,0)</f>
        <v>86761</v>
      </c>
    </row>
    <row r="3198" spans="2:10" ht="15.95" customHeight="1" x14ac:dyDescent="0.25">
      <c r="C3198" s="109"/>
      <c r="D3198" s="109"/>
      <c r="G3198" s="157"/>
    </row>
    <row r="3199" spans="2:10" ht="15.95" customHeight="1" thickBot="1" x14ac:dyDescent="0.3">
      <c r="B3199" s="109" t="s">
        <v>899</v>
      </c>
      <c r="C3199" s="104" t="s">
        <v>900</v>
      </c>
      <c r="G3199" s="157"/>
      <c r="J3199" s="110">
        <f>I3216</f>
        <v>92127</v>
      </c>
    </row>
    <row r="3200" spans="2:10" ht="15.95" customHeight="1" thickBot="1" x14ac:dyDescent="0.3">
      <c r="C3200" s="111" t="s">
        <v>328</v>
      </c>
      <c r="D3200" s="112" t="s">
        <v>359</v>
      </c>
      <c r="E3200" s="113" t="s">
        <v>360</v>
      </c>
      <c r="F3200" s="113" t="s">
        <v>330</v>
      </c>
      <c r="G3200" s="114" t="s">
        <v>361</v>
      </c>
      <c r="H3200" s="112" t="s">
        <v>362</v>
      </c>
      <c r="I3200" s="115" t="s">
        <v>363</v>
      </c>
    </row>
    <row r="3201" spans="3:9" ht="15.95" customHeight="1" x14ac:dyDescent="0.25">
      <c r="C3201" s="116" t="s">
        <v>364</v>
      </c>
      <c r="D3201" s="117" t="s">
        <v>365</v>
      </c>
      <c r="E3201" s="118"/>
      <c r="F3201" s="118"/>
      <c r="G3201" s="165"/>
      <c r="H3201" s="144"/>
      <c r="I3201" s="126"/>
    </row>
    <row r="3202" spans="3:9" ht="15.95" customHeight="1" x14ac:dyDescent="0.25">
      <c r="C3202" s="122"/>
      <c r="D3202" s="117" t="s">
        <v>366</v>
      </c>
      <c r="E3202" s="123" t="s">
        <v>367</v>
      </c>
      <c r="F3202" s="123" t="s">
        <v>368</v>
      </c>
      <c r="G3202" s="124">
        <v>0.36</v>
      </c>
      <c r="H3202" s="125">
        <f>VLOOKUP(D3202,Upah,8,FALSE)</f>
        <v>125000</v>
      </c>
      <c r="I3202" s="126">
        <f>G3202*H3202</f>
        <v>45000</v>
      </c>
    </row>
    <row r="3203" spans="3:9" ht="15.95" customHeight="1" x14ac:dyDescent="0.25">
      <c r="C3203" s="122"/>
      <c r="D3203" s="117" t="s">
        <v>505</v>
      </c>
      <c r="E3203" s="123" t="s">
        <v>414</v>
      </c>
      <c r="F3203" s="123" t="s">
        <v>368</v>
      </c>
      <c r="G3203" s="124">
        <v>0.12</v>
      </c>
      <c r="H3203" s="125">
        <f>VLOOKUP(D3203,Upah,8,FALSE)</f>
        <v>150000</v>
      </c>
      <c r="I3203" s="126">
        <f>G3203*H3203</f>
        <v>18000</v>
      </c>
    </row>
    <row r="3204" spans="3:9" ht="15.95" customHeight="1" x14ac:dyDescent="0.25">
      <c r="C3204" s="122"/>
      <c r="D3204" s="117" t="s">
        <v>371</v>
      </c>
      <c r="E3204" s="123" t="s">
        <v>372</v>
      </c>
      <c r="F3204" s="123" t="s">
        <v>368</v>
      </c>
      <c r="G3204" s="124">
        <v>1.2E-2</v>
      </c>
      <c r="H3204" s="125">
        <f>VLOOKUP(D3204,Upah,8,FALSE)</f>
        <v>165000</v>
      </c>
      <c r="I3204" s="126">
        <f>G3204*H3204</f>
        <v>1980</v>
      </c>
    </row>
    <row r="3205" spans="3:9" ht="15.95" customHeight="1" thickBot="1" x14ac:dyDescent="0.3">
      <c r="C3205" s="122"/>
      <c r="D3205" s="117" t="s">
        <v>373</v>
      </c>
      <c r="E3205" s="123" t="s">
        <v>374</v>
      </c>
      <c r="F3205" s="123" t="s">
        <v>368</v>
      </c>
      <c r="G3205" s="124">
        <v>1.7999999999999999E-2</v>
      </c>
      <c r="H3205" s="125">
        <f>VLOOKUP(D3205,Upah,8,FALSE)</f>
        <v>170000</v>
      </c>
      <c r="I3205" s="126">
        <f>G3205*H3205</f>
        <v>3059.9999999999995</v>
      </c>
    </row>
    <row r="3206" spans="3:9" ht="15.95" customHeight="1" thickBot="1" x14ac:dyDescent="0.3">
      <c r="C3206" s="132"/>
      <c r="D3206" s="133"/>
      <c r="E3206" s="134"/>
      <c r="F3206" s="134"/>
      <c r="G3206" s="135" t="s">
        <v>375</v>
      </c>
      <c r="H3206" s="136"/>
      <c r="I3206" s="137">
        <f>SUM(I3202:I3205)</f>
        <v>68040</v>
      </c>
    </row>
    <row r="3207" spans="3:9" ht="15.95" customHeight="1" x14ac:dyDescent="0.25">
      <c r="C3207" s="116" t="s">
        <v>376</v>
      </c>
      <c r="D3207" s="117" t="s">
        <v>377</v>
      </c>
      <c r="E3207" s="118"/>
      <c r="F3207" s="118"/>
      <c r="G3207" s="165"/>
      <c r="H3207" s="144"/>
      <c r="I3207" s="126"/>
    </row>
    <row r="3208" spans="3:9" ht="15.95" customHeight="1" x14ac:dyDescent="0.25">
      <c r="C3208" s="122"/>
      <c r="D3208" s="117" t="s">
        <v>380</v>
      </c>
      <c r="E3208" s="118"/>
      <c r="F3208" s="123" t="s">
        <v>159</v>
      </c>
      <c r="G3208" s="124">
        <v>5.76</v>
      </c>
      <c r="H3208" s="144">
        <f>VLOOKUP(D3208,Bahan,6,FALSE)</f>
        <v>1880</v>
      </c>
      <c r="I3208" s="126">
        <f>G3208*H3208</f>
        <v>10828.8</v>
      </c>
    </row>
    <row r="3209" spans="3:9" ht="15.95" customHeight="1" x14ac:dyDescent="0.25">
      <c r="C3209" s="122"/>
      <c r="D3209" s="117" t="s">
        <v>901</v>
      </c>
      <c r="E3209" s="118"/>
      <c r="F3209" s="123" t="s">
        <v>158</v>
      </c>
      <c r="G3209" s="124">
        <v>3.0000000000000001E-3</v>
      </c>
      <c r="H3209" s="144">
        <f>VLOOKUP(D3209,Bahan,6,FALSE)</f>
        <v>529200</v>
      </c>
      <c r="I3209" s="126">
        <f>G3209*H3209</f>
        <v>1587.6000000000001</v>
      </c>
    </row>
    <row r="3210" spans="3:9" ht="15.95" customHeight="1" thickBot="1" x14ac:dyDescent="0.3">
      <c r="C3210" s="122"/>
      <c r="D3210" s="117" t="s">
        <v>493</v>
      </c>
      <c r="E3210" s="118"/>
      <c r="F3210" s="123" t="s">
        <v>158</v>
      </c>
      <c r="G3210" s="124">
        <v>1.2999999999999999E-2</v>
      </c>
      <c r="H3210" s="144">
        <f>VLOOKUP(D3210,Bahan,6,FALSE)</f>
        <v>253510</v>
      </c>
      <c r="I3210" s="126">
        <f>G3210*H3210</f>
        <v>3295.6299999999997</v>
      </c>
    </row>
    <row r="3211" spans="3:9" ht="15.95" customHeight="1" thickBot="1" x14ac:dyDescent="0.3">
      <c r="C3211" s="132"/>
      <c r="D3211" s="133"/>
      <c r="E3211" s="134"/>
      <c r="F3211" s="134"/>
      <c r="G3211" s="135" t="s">
        <v>386</v>
      </c>
      <c r="H3211" s="136"/>
      <c r="I3211" s="137">
        <f>SUM(I3208:I3210)</f>
        <v>15712.029999999999</v>
      </c>
    </row>
    <row r="3212" spans="3:9" ht="15.95" customHeight="1" thickBot="1" x14ac:dyDescent="0.3">
      <c r="C3212" s="116" t="s">
        <v>387</v>
      </c>
      <c r="D3212" s="117" t="s">
        <v>388</v>
      </c>
      <c r="E3212" s="118"/>
      <c r="F3212" s="118"/>
      <c r="G3212" s="165"/>
      <c r="H3212" s="144">
        <f>IF(AND(D3212&lt;&gt;"",F3212&lt;&gt;""),IF(C3212="",IF(F3212="OH",VLOOKUP(D3212,[1]UPAH!$B$3:$G$32,7,0),VLOOKUP(D3212,[1]BAHAN!$A$2:$D$3,4,0)),0),0)</f>
        <v>0</v>
      </c>
      <c r="I3212" s="126">
        <f>G3212*H3212</f>
        <v>0</v>
      </c>
    </row>
    <row r="3213" spans="3:9" ht="15.95" customHeight="1" thickBot="1" x14ac:dyDescent="0.3">
      <c r="C3213" s="132"/>
      <c r="D3213" s="133"/>
      <c r="E3213" s="134"/>
      <c r="F3213" s="134"/>
      <c r="G3213" s="135" t="s">
        <v>389</v>
      </c>
      <c r="H3213" s="136"/>
      <c r="I3213" s="137">
        <f>I3212</f>
        <v>0</v>
      </c>
    </row>
    <row r="3214" spans="3:9" ht="15.95" customHeight="1" x14ac:dyDescent="0.25">
      <c r="C3214" s="158" t="s">
        <v>390</v>
      </c>
      <c r="D3214" s="159" t="s">
        <v>391</v>
      </c>
      <c r="E3214" s="160"/>
      <c r="F3214" s="160"/>
      <c r="G3214" s="161"/>
      <c r="H3214" s="162">
        <f>IF(AND(D3214&lt;&gt;"",F3214&lt;&gt;""),IF(C3214="",IF(F3214="OH",VLOOKUP(D3214,[1]UPAH!$B$3:$G$32,7,0),VLOOKUP(D3214,[1]BAHAN!$A$2:$D$3,4,0)),0),0)</f>
        <v>0</v>
      </c>
      <c r="I3214" s="126">
        <f>SUM(I3202:I3213)/2</f>
        <v>83752.03</v>
      </c>
    </row>
    <row r="3215" spans="3:9" ht="15.95" customHeight="1" thickBot="1" x14ac:dyDescent="0.3">
      <c r="C3215" s="147" t="s">
        <v>392</v>
      </c>
      <c r="D3215" s="148" t="s">
        <v>393</v>
      </c>
      <c r="E3215" s="149"/>
      <c r="F3215" s="149"/>
      <c r="G3215" s="164">
        <v>0.1</v>
      </c>
      <c r="H3215" s="151"/>
      <c r="I3215" s="146">
        <f>G3215*I3214</f>
        <v>8375.2029999999995</v>
      </c>
    </row>
    <row r="3216" spans="3:9" ht="15.95" customHeight="1" thickBot="1" x14ac:dyDescent="0.3">
      <c r="C3216" s="111" t="s">
        <v>394</v>
      </c>
      <c r="D3216" s="112" t="s">
        <v>395</v>
      </c>
      <c r="E3216" s="134"/>
      <c r="F3216" s="134"/>
      <c r="G3216" s="156"/>
      <c r="H3216" s="136">
        <f>IF(AND(D3216&lt;&gt;"",F3216&lt;&gt;""),IF(C3216="",IF(F3216="OH",VLOOKUP(D3216,[1]UPAH!$B$3:$G$32,7,0),VLOOKUP(D3216,[1]BAHAN!$A$2:$D$3,4,0)),0),0)</f>
        <v>0</v>
      </c>
      <c r="I3216" s="137">
        <f>ROUNDDOWN(I3214+I3215,0)</f>
        <v>92127</v>
      </c>
    </row>
    <row r="3217" spans="2:10" ht="15.95" customHeight="1" x14ac:dyDescent="0.25">
      <c r="C3217" s="109"/>
      <c r="D3217" s="109"/>
      <c r="G3217" s="157"/>
    </row>
    <row r="3218" spans="2:10" ht="15.95" customHeight="1" thickBot="1" x14ac:dyDescent="0.3">
      <c r="B3218" s="109" t="s">
        <v>902</v>
      </c>
      <c r="C3218" s="104" t="s">
        <v>903</v>
      </c>
      <c r="G3218" s="157"/>
      <c r="J3218" s="110">
        <f>I3235</f>
        <v>89535</v>
      </c>
    </row>
    <row r="3219" spans="2:10" ht="15.95" customHeight="1" thickBot="1" x14ac:dyDescent="0.3">
      <c r="C3219" s="111" t="s">
        <v>328</v>
      </c>
      <c r="D3219" s="112" t="s">
        <v>359</v>
      </c>
      <c r="E3219" s="113" t="s">
        <v>360</v>
      </c>
      <c r="F3219" s="113" t="s">
        <v>330</v>
      </c>
      <c r="G3219" s="114" t="s">
        <v>361</v>
      </c>
      <c r="H3219" s="112" t="s">
        <v>362</v>
      </c>
      <c r="I3219" s="115" t="s">
        <v>363</v>
      </c>
    </row>
    <row r="3220" spans="2:10" ht="15.95" customHeight="1" x14ac:dyDescent="0.25">
      <c r="C3220" s="116" t="s">
        <v>364</v>
      </c>
      <c r="D3220" s="117" t="s">
        <v>365</v>
      </c>
      <c r="E3220" s="118"/>
      <c r="F3220" s="118"/>
      <c r="G3220" s="165"/>
      <c r="H3220" s="144"/>
      <c r="I3220" s="126"/>
    </row>
    <row r="3221" spans="2:10" ht="15.95" customHeight="1" x14ac:dyDescent="0.25">
      <c r="C3221" s="122"/>
      <c r="D3221" s="117" t="s">
        <v>366</v>
      </c>
      <c r="E3221" s="123" t="s">
        <v>367</v>
      </c>
      <c r="F3221" s="123" t="s">
        <v>368</v>
      </c>
      <c r="G3221" s="124">
        <v>0.36</v>
      </c>
      <c r="H3221" s="125">
        <f>VLOOKUP(D3221,Upah,8,FALSE)</f>
        <v>125000</v>
      </c>
      <c r="I3221" s="126">
        <f>G3221*H3221</f>
        <v>45000</v>
      </c>
    </row>
    <row r="3222" spans="2:10" ht="15.95" customHeight="1" x14ac:dyDescent="0.25">
      <c r="C3222" s="122"/>
      <c r="D3222" s="117" t="s">
        <v>505</v>
      </c>
      <c r="E3222" s="123" t="s">
        <v>414</v>
      </c>
      <c r="F3222" s="123" t="s">
        <v>368</v>
      </c>
      <c r="G3222" s="124">
        <v>0.12</v>
      </c>
      <c r="H3222" s="125">
        <f>VLOOKUP(D3222,Upah,8,FALSE)</f>
        <v>150000</v>
      </c>
      <c r="I3222" s="126">
        <f>G3222*H3222</f>
        <v>18000</v>
      </c>
    </row>
    <row r="3223" spans="2:10" ht="15.95" customHeight="1" x14ac:dyDescent="0.25">
      <c r="C3223" s="122"/>
      <c r="D3223" s="117" t="s">
        <v>371</v>
      </c>
      <c r="E3223" s="123" t="s">
        <v>372</v>
      </c>
      <c r="F3223" s="123" t="s">
        <v>368</v>
      </c>
      <c r="G3223" s="124">
        <v>1.2E-2</v>
      </c>
      <c r="H3223" s="125">
        <f>VLOOKUP(D3223,Upah,8,FALSE)</f>
        <v>165000</v>
      </c>
      <c r="I3223" s="126">
        <f>G3223*H3223</f>
        <v>1980</v>
      </c>
    </row>
    <row r="3224" spans="2:10" ht="15.95" customHeight="1" thickBot="1" x14ac:dyDescent="0.3">
      <c r="C3224" s="122"/>
      <c r="D3224" s="117" t="s">
        <v>373</v>
      </c>
      <c r="E3224" s="123" t="s">
        <v>374</v>
      </c>
      <c r="F3224" s="123" t="s">
        <v>368</v>
      </c>
      <c r="G3224" s="124">
        <v>1.7999999999999999E-2</v>
      </c>
      <c r="H3224" s="125">
        <f>VLOOKUP(D3224,Upah,8,FALSE)</f>
        <v>170000</v>
      </c>
      <c r="I3224" s="126">
        <f>G3224*H3224</f>
        <v>3059.9999999999995</v>
      </c>
    </row>
    <row r="3225" spans="2:10" ht="15.95" customHeight="1" thickBot="1" x14ac:dyDescent="0.3">
      <c r="C3225" s="132"/>
      <c r="D3225" s="133"/>
      <c r="E3225" s="134"/>
      <c r="F3225" s="134"/>
      <c r="G3225" s="135" t="s">
        <v>375</v>
      </c>
      <c r="H3225" s="136"/>
      <c r="I3225" s="137">
        <f>SUM(I3221:I3224)</f>
        <v>68040</v>
      </c>
    </row>
    <row r="3226" spans="2:10" ht="15.95" customHeight="1" x14ac:dyDescent="0.25">
      <c r="C3226" s="116" t="s">
        <v>376</v>
      </c>
      <c r="D3226" s="117" t="s">
        <v>377</v>
      </c>
      <c r="E3226" s="118"/>
      <c r="F3226" s="118"/>
      <c r="G3226" s="165"/>
      <c r="H3226" s="144"/>
      <c r="I3226" s="126"/>
    </row>
    <row r="3227" spans="2:10" ht="15.95" customHeight="1" x14ac:dyDescent="0.25">
      <c r="C3227" s="122"/>
      <c r="D3227" s="117" t="s">
        <v>380</v>
      </c>
      <c r="E3227" s="118"/>
      <c r="F3227" s="123" t="s">
        <v>159</v>
      </c>
      <c r="G3227" s="124">
        <v>3</v>
      </c>
      <c r="H3227" s="144">
        <f>VLOOKUP(D3227,Bahan,6,FALSE)</f>
        <v>1880</v>
      </c>
      <c r="I3227" s="126">
        <f>G3227*H3227</f>
        <v>5640</v>
      </c>
    </row>
    <row r="3228" spans="2:10" ht="15.95" customHeight="1" x14ac:dyDescent="0.25">
      <c r="C3228" s="122"/>
      <c r="D3228" s="117" t="s">
        <v>901</v>
      </c>
      <c r="E3228" s="118"/>
      <c r="F3228" s="123" t="s">
        <v>158</v>
      </c>
      <c r="G3228" s="124">
        <v>5.0000000000000001E-3</v>
      </c>
      <c r="H3228" s="144">
        <f>VLOOKUP(D3228,Bahan,6,FALSE)</f>
        <v>529200</v>
      </c>
      <c r="I3228" s="126">
        <f>G3228*H3228</f>
        <v>2646</v>
      </c>
    </row>
    <row r="3229" spans="2:10" ht="15.95" customHeight="1" thickBot="1" x14ac:dyDescent="0.3">
      <c r="C3229" s="122"/>
      <c r="D3229" s="117" t="s">
        <v>493</v>
      </c>
      <c r="E3229" s="118"/>
      <c r="F3229" s="123" t="s">
        <v>158</v>
      </c>
      <c r="G3229" s="124">
        <v>0.02</v>
      </c>
      <c r="H3229" s="144">
        <f>VLOOKUP(D3229,Bahan,6,FALSE)</f>
        <v>253510</v>
      </c>
      <c r="I3229" s="126">
        <f>G3229*H3229</f>
        <v>5070.2</v>
      </c>
    </row>
    <row r="3230" spans="2:10" ht="15.95" customHeight="1" thickBot="1" x14ac:dyDescent="0.3">
      <c r="C3230" s="132"/>
      <c r="D3230" s="133"/>
      <c r="E3230" s="134"/>
      <c r="F3230" s="134"/>
      <c r="G3230" s="135" t="s">
        <v>386</v>
      </c>
      <c r="H3230" s="136"/>
      <c r="I3230" s="137">
        <f>SUM(I3227:I3229)</f>
        <v>13356.2</v>
      </c>
    </row>
    <row r="3231" spans="2:10" ht="15.95" customHeight="1" thickBot="1" x14ac:dyDescent="0.3">
      <c r="C3231" s="116" t="s">
        <v>387</v>
      </c>
      <c r="D3231" s="117" t="s">
        <v>388</v>
      </c>
      <c r="E3231" s="118"/>
      <c r="F3231" s="118"/>
      <c r="G3231" s="165"/>
      <c r="H3231" s="144">
        <f>IF(AND(D3231&lt;&gt;"",F3231&lt;&gt;""),IF(C3231="",IF(F3231="OH",VLOOKUP(D3231,[1]UPAH!$B$3:$G$32,7,0),VLOOKUP(D3231,[1]BAHAN!$A$2:$D$3,4,0)),0),0)</f>
        <v>0</v>
      </c>
      <c r="I3231" s="126">
        <f>G3231*H3231</f>
        <v>0</v>
      </c>
    </row>
    <row r="3232" spans="2:10" ht="15.95" customHeight="1" thickBot="1" x14ac:dyDescent="0.3">
      <c r="C3232" s="132"/>
      <c r="D3232" s="133"/>
      <c r="E3232" s="134"/>
      <c r="F3232" s="134"/>
      <c r="G3232" s="135" t="s">
        <v>389</v>
      </c>
      <c r="H3232" s="136"/>
      <c r="I3232" s="137">
        <f>I3231</f>
        <v>0</v>
      </c>
    </row>
    <row r="3233" spans="2:10" ht="15.95" customHeight="1" x14ac:dyDescent="0.25">
      <c r="C3233" s="158" t="s">
        <v>390</v>
      </c>
      <c r="D3233" s="159" t="s">
        <v>391</v>
      </c>
      <c r="E3233" s="160"/>
      <c r="F3233" s="160"/>
      <c r="G3233" s="161"/>
      <c r="H3233" s="162">
        <f>IF(AND(D3233&lt;&gt;"",F3233&lt;&gt;""),IF(C3233="",IF(F3233="OH",VLOOKUP(D3233,[1]UPAH!$B$3:$G$32,7,0),VLOOKUP(D3233,[1]BAHAN!$A$2:$D$3,4,0)),0),0)</f>
        <v>0</v>
      </c>
      <c r="I3233" s="126">
        <f>SUM(I3220:I3232)/2</f>
        <v>81396.200000000012</v>
      </c>
    </row>
    <row r="3234" spans="2:10" ht="15.95" customHeight="1" thickBot="1" x14ac:dyDescent="0.3">
      <c r="C3234" s="147" t="s">
        <v>392</v>
      </c>
      <c r="D3234" s="148" t="s">
        <v>393</v>
      </c>
      <c r="E3234" s="149"/>
      <c r="F3234" s="149"/>
      <c r="G3234" s="164">
        <v>0.1</v>
      </c>
      <c r="H3234" s="151"/>
      <c r="I3234" s="146">
        <f>G3234*I3233</f>
        <v>8139.6200000000017</v>
      </c>
    </row>
    <row r="3235" spans="2:10" ht="15.95" customHeight="1" thickBot="1" x14ac:dyDescent="0.3">
      <c r="C3235" s="111" t="s">
        <v>394</v>
      </c>
      <c r="D3235" s="112" t="s">
        <v>395</v>
      </c>
      <c r="E3235" s="134"/>
      <c r="F3235" s="134"/>
      <c r="G3235" s="156"/>
      <c r="H3235" s="136">
        <f>IF(AND(D3235&lt;&gt;"",F3235&lt;&gt;""),IF(C3235="",IF(F3235="OH",VLOOKUP(D3235,[1]UPAH!$B$3:$G$32,7,0),VLOOKUP(D3235,[1]BAHAN!$A$2:$D$3,4,0)),0),0)</f>
        <v>0</v>
      </c>
      <c r="I3235" s="137">
        <f>ROUNDDOWN(I3233+I3234,0)</f>
        <v>89535</v>
      </c>
    </row>
    <row r="3236" spans="2:10" ht="15.95" customHeight="1" x14ac:dyDescent="0.25">
      <c r="C3236" s="109"/>
      <c r="D3236" s="109"/>
      <c r="G3236" s="157"/>
    </row>
    <row r="3237" spans="2:10" ht="15.95" customHeight="1" thickBot="1" x14ac:dyDescent="0.3">
      <c r="B3237" s="109" t="s">
        <v>904</v>
      </c>
      <c r="C3237" s="104" t="s">
        <v>905</v>
      </c>
      <c r="G3237" s="157"/>
      <c r="J3237" s="110">
        <f>I3254</f>
        <v>82611</v>
      </c>
    </row>
    <row r="3238" spans="2:10" ht="15.95" customHeight="1" thickBot="1" x14ac:dyDescent="0.3">
      <c r="C3238" s="111" t="s">
        <v>328</v>
      </c>
      <c r="D3238" s="112" t="s">
        <v>359</v>
      </c>
      <c r="E3238" s="113" t="s">
        <v>360</v>
      </c>
      <c r="F3238" s="113" t="s">
        <v>330</v>
      </c>
      <c r="G3238" s="114" t="s">
        <v>361</v>
      </c>
      <c r="H3238" s="112" t="s">
        <v>362</v>
      </c>
      <c r="I3238" s="115" t="s">
        <v>363</v>
      </c>
    </row>
    <row r="3239" spans="2:10" ht="15.95" customHeight="1" x14ac:dyDescent="0.25">
      <c r="C3239" s="116" t="s">
        <v>364</v>
      </c>
      <c r="D3239" s="117" t="s">
        <v>365</v>
      </c>
      <c r="E3239" s="118"/>
      <c r="F3239" s="118"/>
      <c r="G3239" s="165"/>
      <c r="H3239" s="125"/>
      <c r="I3239" s="126"/>
    </row>
    <row r="3240" spans="2:10" ht="15.95" customHeight="1" x14ac:dyDescent="0.25">
      <c r="C3240" s="122"/>
      <c r="D3240" s="117" t="s">
        <v>366</v>
      </c>
      <c r="E3240" s="123" t="s">
        <v>367</v>
      </c>
      <c r="F3240" s="123" t="s">
        <v>368</v>
      </c>
      <c r="G3240" s="124">
        <v>0.36</v>
      </c>
      <c r="H3240" s="125">
        <f>VLOOKUP(D3240,Upah,8,FALSE)</f>
        <v>125000</v>
      </c>
      <c r="I3240" s="126">
        <f>G3240*H3240</f>
        <v>45000</v>
      </c>
    </row>
    <row r="3241" spans="2:10" ht="15.95" customHeight="1" x14ac:dyDescent="0.25">
      <c r="C3241" s="122"/>
      <c r="D3241" s="117" t="s">
        <v>505</v>
      </c>
      <c r="E3241" s="123" t="s">
        <v>414</v>
      </c>
      <c r="F3241" s="123" t="s">
        <v>368</v>
      </c>
      <c r="G3241" s="124">
        <v>0.12</v>
      </c>
      <c r="H3241" s="125">
        <f>VLOOKUP(D3241,Upah,8,FALSE)</f>
        <v>150000</v>
      </c>
      <c r="I3241" s="126">
        <f>G3241*H3241</f>
        <v>18000</v>
      </c>
    </row>
    <row r="3242" spans="2:10" ht="15.95" customHeight="1" x14ac:dyDescent="0.25">
      <c r="C3242" s="122"/>
      <c r="D3242" s="117" t="s">
        <v>371</v>
      </c>
      <c r="E3242" s="123" t="s">
        <v>372</v>
      </c>
      <c r="F3242" s="123" t="s">
        <v>368</v>
      </c>
      <c r="G3242" s="124">
        <v>1.2E-2</v>
      </c>
      <c r="H3242" s="125">
        <f>VLOOKUP(D3242,Upah,8,FALSE)</f>
        <v>165000</v>
      </c>
      <c r="I3242" s="126">
        <f>G3242*H3242</f>
        <v>1980</v>
      </c>
    </row>
    <row r="3243" spans="2:10" ht="15.95" customHeight="1" thickBot="1" x14ac:dyDescent="0.3">
      <c r="C3243" s="122"/>
      <c r="D3243" s="117" t="s">
        <v>373</v>
      </c>
      <c r="E3243" s="123" t="s">
        <v>374</v>
      </c>
      <c r="F3243" s="123" t="s">
        <v>368</v>
      </c>
      <c r="G3243" s="124">
        <v>1.7999999999999999E-2</v>
      </c>
      <c r="H3243" s="125">
        <f>VLOOKUP(D3243,Upah,8,FALSE)</f>
        <v>170000</v>
      </c>
      <c r="I3243" s="126">
        <f>G3243*H3243</f>
        <v>3059.9999999999995</v>
      </c>
    </row>
    <row r="3244" spans="2:10" ht="15.95" customHeight="1" thickBot="1" x14ac:dyDescent="0.3">
      <c r="C3244" s="132"/>
      <c r="D3244" s="133"/>
      <c r="E3244" s="134"/>
      <c r="F3244" s="134"/>
      <c r="G3244" s="135" t="s">
        <v>375</v>
      </c>
      <c r="H3244" s="136"/>
      <c r="I3244" s="137">
        <f>SUM(I3240:I3243)</f>
        <v>68040</v>
      </c>
    </row>
    <row r="3245" spans="2:10" ht="15.95" customHeight="1" x14ac:dyDescent="0.25">
      <c r="C3245" s="116" t="s">
        <v>376</v>
      </c>
      <c r="D3245" s="117" t="s">
        <v>377</v>
      </c>
      <c r="E3245" s="118"/>
      <c r="F3245" s="118"/>
      <c r="G3245" s="165"/>
      <c r="H3245" s="144"/>
      <c r="I3245" s="126"/>
    </row>
    <row r="3246" spans="2:10" ht="15.95" customHeight="1" x14ac:dyDescent="0.25">
      <c r="C3246" s="122"/>
      <c r="D3246" s="117" t="s">
        <v>380</v>
      </c>
      <c r="E3246" s="118"/>
      <c r="F3246" s="123" t="s">
        <v>158</v>
      </c>
      <c r="G3246" s="124">
        <v>8.9999999999999993E-3</v>
      </c>
      <c r="H3246" s="144">
        <f>VLOOKUP(D3246,Bahan,6,FALSE)</f>
        <v>1880</v>
      </c>
      <c r="I3246" s="126">
        <f>G3246*H3246</f>
        <v>16.919999999999998</v>
      </c>
    </row>
    <row r="3247" spans="2:10" ht="15.95" customHeight="1" x14ac:dyDescent="0.25">
      <c r="C3247" s="122"/>
      <c r="D3247" s="117" t="s">
        <v>901</v>
      </c>
      <c r="E3247" s="118"/>
      <c r="F3247" s="123" t="s">
        <v>158</v>
      </c>
      <c r="G3247" s="124">
        <v>8.9999999999999993E-3</v>
      </c>
      <c r="H3247" s="144">
        <f>VLOOKUP(D3247,Bahan,6,FALSE)</f>
        <v>529200</v>
      </c>
      <c r="I3247" s="126">
        <f>G3247*H3247</f>
        <v>4762.7999999999993</v>
      </c>
    </row>
    <row r="3248" spans="2:10" ht="15.95" customHeight="1" thickBot="1" x14ac:dyDescent="0.3">
      <c r="C3248" s="122"/>
      <c r="D3248" s="117" t="s">
        <v>493</v>
      </c>
      <c r="E3248" s="118"/>
      <c r="F3248" s="123" t="s">
        <v>158</v>
      </c>
      <c r="G3248" s="124">
        <v>8.9999999999999993E-3</v>
      </c>
      <c r="H3248" s="144">
        <f>VLOOKUP(D3248,Bahan,6,FALSE)</f>
        <v>253510</v>
      </c>
      <c r="I3248" s="126">
        <f>G3248*H3248</f>
        <v>2281.5899999999997</v>
      </c>
    </row>
    <row r="3249" spans="2:10" ht="15.95" customHeight="1" thickBot="1" x14ac:dyDescent="0.3">
      <c r="C3249" s="132"/>
      <c r="D3249" s="133"/>
      <c r="E3249" s="134"/>
      <c r="F3249" s="134"/>
      <c r="G3249" s="135" t="s">
        <v>386</v>
      </c>
      <c r="H3249" s="136"/>
      <c r="I3249" s="137">
        <f>SUM(I3246:I3248)</f>
        <v>7061.3099999999995</v>
      </c>
    </row>
    <row r="3250" spans="2:10" ht="15.95" customHeight="1" thickBot="1" x14ac:dyDescent="0.3">
      <c r="C3250" s="116" t="s">
        <v>387</v>
      </c>
      <c r="D3250" s="117" t="s">
        <v>388</v>
      </c>
      <c r="E3250" s="118"/>
      <c r="F3250" s="118"/>
      <c r="G3250" s="165"/>
      <c r="H3250" s="144">
        <f>IF(AND(D3250&lt;&gt;"",F3250&lt;&gt;""),IF(C3250="",IF(F3250="OH",VLOOKUP(D3250,[1]UPAH!$B$3:$G$32,7,0),VLOOKUP(D3250,[1]BAHAN!$A$2:$D$3,4,0)),0),0)</f>
        <v>0</v>
      </c>
      <c r="I3250" s="126">
        <f>G3250*H3250</f>
        <v>0</v>
      </c>
    </row>
    <row r="3251" spans="2:10" ht="15.95" customHeight="1" thickBot="1" x14ac:dyDescent="0.3">
      <c r="C3251" s="132"/>
      <c r="D3251" s="133"/>
      <c r="E3251" s="134"/>
      <c r="F3251" s="134"/>
      <c r="G3251" s="135" t="s">
        <v>389</v>
      </c>
      <c r="H3251" s="136"/>
      <c r="I3251" s="137">
        <f>I3250</f>
        <v>0</v>
      </c>
    </row>
    <row r="3252" spans="2:10" ht="15.95" customHeight="1" x14ac:dyDescent="0.25">
      <c r="C3252" s="158" t="s">
        <v>390</v>
      </c>
      <c r="D3252" s="159" t="s">
        <v>391</v>
      </c>
      <c r="E3252" s="160"/>
      <c r="F3252" s="160"/>
      <c r="G3252" s="161"/>
      <c r="H3252" s="162">
        <f>IF(AND(D3252&lt;&gt;"",F3252&lt;&gt;""),IF(C3252="",IF(F3252="OH",VLOOKUP(D3252,[1]UPAH!$B$3:$G$32,7,0),VLOOKUP(D3252,[1]BAHAN!$A$2:$D$3,4,0)),0),0)</f>
        <v>0</v>
      </c>
      <c r="I3252" s="126">
        <f>SUM(I3239:I3251)/2</f>
        <v>75101.31</v>
      </c>
    </row>
    <row r="3253" spans="2:10" ht="15.95" customHeight="1" thickBot="1" x14ac:dyDescent="0.3">
      <c r="C3253" s="147" t="s">
        <v>392</v>
      </c>
      <c r="D3253" s="148" t="s">
        <v>393</v>
      </c>
      <c r="E3253" s="149"/>
      <c r="F3253" s="149"/>
      <c r="G3253" s="164">
        <v>0.1</v>
      </c>
      <c r="H3253" s="151"/>
      <c r="I3253" s="146">
        <f>G3253*I3252</f>
        <v>7510.1310000000003</v>
      </c>
    </row>
    <row r="3254" spans="2:10" ht="15.95" customHeight="1" thickBot="1" x14ac:dyDescent="0.3">
      <c r="C3254" s="111" t="s">
        <v>394</v>
      </c>
      <c r="D3254" s="112" t="s">
        <v>395</v>
      </c>
      <c r="E3254" s="134"/>
      <c r="F3254" s="134"/>
      <c r="G3254" s="156"/>
      <c r="H3254" s="136">
        <f>IF(AND(D3254&lt;&gt;"",F3254&lt;&gt;""),IF(C3254="",IF(F3254="OH",VLOOKUP(D3254,[1]UPAH!$B$3:$G$32,7,0),VLOOKUP(D3254,[1]BAHAN!$A$2:$D$3,4,0)),0),0)</f>
        <v>0</v>
      </c>
      <c r="I3254" s="137">
        <f>ROUNDDOWN(I3252+I3253,0)</f>
        <v>82611</v>
      </c>
    </row>
    <row r="3255" spans="2:10" ht="15.95" customHeight="1" x14ac:dyDescent="0.25">
      <c r="C3255" s="109"/>
      <c r="D3255" s="109"/>
      <c r="G3255" s="157"/>
    </row>
    <row r="3256" spans="2:10" ht="15.95" customHeight="1" thickBot="1" x14ac:dyDescent="0.3">
      <c r="B3256" s="109" t="s">
        <v>906</v>
      </c>
      <c r="C3256" s="109" t="s">
        <v>907</v>
      </c>
      <c r="G3256" s="157"/>
      <c r="J3256" s="110">
        <f>I3273</f>
        <v>83116</v>
      </c>
    </row>
    <row r="3257" spans="2:10" ht="15.95" customHeight="1" thickBot="1" x14ac:dyDescent="0.3">
      <c r="C3257" s="111" t="s">
        <v>328</v>
      </c>
      <c r="D3257" s="112" t="s">
        <v>359</v>
      </c>
      <c r="E3257" s="113" t="s">
        <v>360</v>
      </c>
      <c r="F3257" s="113" t="s">
        <v>330</v>
      </c>
      <c r="G3257" s="114" t="s">
        <v>361</v>
      </c>
      <c r="H3257" s="112" t="s">
        <v>362</v>
      </c>
      <c r="I3257" s="115" t="s">
        <v>363</v>
      </c>
    </row>
    <row r="3258" spans="2:10" ht="15.95" customHeight="1" x14ac:dyDescent="0.25">
      <c r="C3258" s="116" t="s">
        <v>364</v>
      </c>
      <c r="D3258" s="117" t="s">
        <v>365</v>
      </c>
      <c r="E3258" s="118"/>
      <c r="F3258" s="118"/>
      <c r="G3258" s="165"/>
      <c r="H3258" s="144"/>
      <c r="I3258" s="126"/>
    </row>
    <row r="3259" spans="2:10" ht="15.95" customHeight="1" x14ac:dyDescent="0.25">
      <c r="C3259" s="122"/>
      <c r="D3259" s="117" t="s">
        <v>366</v>
      </c>
      <c r="E3259" s="123" t="s">
        <v>367</v>
      </c>
      <c r="F3259" s="123" t="s">
        <v>368</v>
      </c>
      <c r="G3259" s="124">
        <v>0.36</v>
      </c>
      <c r="H3259" s="125">
        <f>VLOOKUP(D3259,Upah,8,FALSE)</f>
        <v>125000</v>
      </c>
      <c r="I3259" s="126">
        <f>G3259*H3259</f>
        <v>45000</v>
      </c>
    </row>
    <row r="3260" spans="2:10" ht="15.95" customHeight="1" x14ac:dyDescent="0.25">
      <c r="C3260" s="122"/>
      <c r="D3260" s="117" t="s">
        <v>505</v>
      </c>
      <c r="E3260" s="123" t="s">
        <v>414</v>
      </c>
      <c r="F3260" s="123" t="s">
        <v>368</v>
      </c>
      <c r="G3260" s="124">
        <v>0.12</v>
      </c>
      <c r="H3260" s="125">
        <f>VLOOKUP(D3260,Upah,8,FALSE)</f>
        <v>150000</v>
      </c>
      <c r="I3260" s="126">
        <f>G3260*H3260</f>
        <v>18000</v>
      </c>
    </row>
    <row r="3261" spans="2:10" ht="15.95" customHeight="1" x14ac:dyDescent="0.25">
      <c r="C3261" s="122"/>
      <c r="D3261" s="117" t="s">
        <v>371</v>
      </c>
      <c r="E3261" s="123" t="s">
        <v>372</v>
      </c>
      <c r="F3261" s="123" t="s">
        <v>368</v>
      </c>
      <c r="G3261" s="124">
        <v>1.2E-2</v>
      </c>
      <c r="H3261" s="125">
        <f>VLOOKUP(D3261,Upah,8,FALSE)</f>
        <v>165000</v>
      </c>
      <c r="I3261" s="126">
        <f>G3261*H3261</f>
        <v>1980</v>
      </c>
    </row>
    <row r="3262" spans="2:10" ht="15.95" customHeight="1" thickBot="1" x14ac:dyDescent="0.3">
      <c r="C3262" s="122"/>
      <c r="D3262" s="117" t="s">
        <v>373</v>
      </c>
      <c r="E3262" s="123" t="s">
        <v>374</v>
      </c>
      <c r="F3262" s="123" t="s">
        <v>368</v>
      </c>
      <c r="G3262" s="124">
        <v>1.7999999999999999E-2</v>
      </c>
      <c r="H3262" s="125">
        <f>VLOOKUP(D3262,Upah,8,FALSE)</f>
        <v>170000</v>
      </c>
      <c r="I3262" s="126">
        <f>G3262*H3262</f>
        <v>3059.9999999999995</v>
      </c>
    </row>
    <row r="3263" spans="2:10" ht="15.95" customHeight="1" thickBot="1" x14ac:dyDescent="0.3">
      <c r="C3263" s="132"/>
      <c r="D3263" s="133"/>
      <c r="E3263" s="134"/>
      <c r="F3263" s="134"/>
      <c r="G3263" s="135" t="s">
        <v>375</v>
      </c>
      <c r="H3263" s="136"/>
      <c r="I3263" s="137">
        <f>SUM(I3259:I3262)</f>
        <v>68040</v>
      </c>
    </row>
    <row r="3264" spans="2:10" ht="15.95" customHeight="1" x14ac:dyDescent="0.25">
      <c r="C3264" s="116" t="s">
        <v>376</v>
      </c>
      <c r="D3264" s="117" t="s">
        <v>377</v>
      </c>
      <c r="E3264" s="118"/>
      <c r="F3264" s="118"/>
      <c r="G3264" s="165"/>
      <c r="H3264" s="144"/>
      <c r="I3264" s="126"/>
    </row>
    <row r="3265" spans="2:10" ht="15.95" customHeight="1" x14ac:dyDescent="0.25">
      <c r="C3265" s="122"/>
      <c r="D3265" s="117" t="s">
        <v>380</v>
      </c>
      <c r="E3265" s="118"/>
      <c r="F3265" s="123" t="s">
        <v>158</v>
      </c>
      <c r="G3265" s="124">
        <v>7.0000000000000001E-3</v>
      </c>
      <c r="H3265" s="144">
        <f>VLOOKUP(D3265,Bahan,6,FALSE)</f>
        <v>1880</v>
      </c>
      <c r="I3265" s="126">
        <f>G3265*H3265</f>
        <v>13.16</v>
      </c>
    </row>
    <row r="3266" spans="2:10" ht="15.95" customHeight="1" x14ac:dyDescent="0.25">
      <c r="C3266" s="122"/>
      <c r="D3266" s="117" t="s">
        <v>901</v>
      </c>
      <c r="E3266" s="118"/>
      <c r="F3266" s="123" t="s">
        <v>158</v>
      </c>
      <c r="G3266" s="124">
        <v>7.0000000000000001E-3</v>
      </c>
      <c r="H3266" s="144">
        <f>VLOOKUP(D3266,Bahan,6,FALSE)</f>
        <v>529200</v>
      </c>
      <c r="I3266" s="126">
        <f>G3266*H3266</f>
        <v>3704.4</v>
      </c>
    </row>
    <row r="3267" spans="2:10" ht="15.95" customHeight="1" thickBot="1" x14ac:dyDescent="0.3">
      <c r="C3267" s="122"/>
      <c r="D3267" s="117" t="s">
        <v>493</v>
      </c>
      <c r="E3267" s="118"/>
      <c r="F3267" s="123" t="s">
        <v>158</v>
      </c>
      <c r="G3267" s="124">
        <v>1.4999999999999999E-2</v>
      </c>
      <c r="H3267" s="144">
        <f>VLOOKUP(D3267,Bahan,6,FALSE)</f>
        <v>253510</v>
      </c>
      <c r="I3267" s="126">
        <f>G3267*H3267</f>
        <v>3802.6499999999996</v>
      </c>
    </row>
    <row r="3268" spans="2:10" ht="15.95" customHeight="1" thickBot="1" x14ac:dyDescent="0.3">
      <c r="C3268" s="132"/>
      <c r="D3268" s="133"/>
      <c r="E3268" s="134"/>
      <c r="F3268" s="134"/>
      <c r="G3268" s="135" t="s">
        <v>386</v>
      </c>
      <c r="H3268" s="136"/>
      <c r="I3268" s="137">
        <f>SUM(I3265:I3267)</f>
        <v>7520.2099999999991</v>
      </c>
    </row>
    <row r="3269" spans="2:10" ht="15.95" customHeight="1" thickBot="1" x14ac:dyDescent="0.3">
      <c r="C3269" s="116" t="s">
        <v>387</v>
      </c>
      <c r="D3269" s="117" t="s">
        <v>388</v>
      </c>
      <c r="E3269" s="118"/>
      <c r="F3269" s="118"/>
      <c r="G3269" s="165"/>
      <c r="H3269" s="144">
        <f>IF(AND(D3269&lt;&gt;"",F3269&lt;&gt;""),IF(C3269="",IF(F3269="OH",VLOOKUP(D3269,[1]UPAH!$B$3:$G$32,7,0),VLOOKUP(D3269,[1]BAHAN!$A$2:$D$3,4,0)),0),0)</f>
        <v>0</v>
      </c>
      <c r="I3269" s="126">
        <f>G3269*H3269</f>
        <v>0</v>
      </c>
    </row>
    <row r="3270" spans="2:10" ht="15.95" customHeight="1" thickBot="1" x14ac:dyDescent="0.3">
      <c r="C3270" s="132"/>
      <c r="D3270" s="133"/>
      <c r="E3270" s="134"/>
      <c r="F3270" s="134"/>
      <c r="G3270" s="135" t="s">
        <v>389</v>
      </c>
      <c r="H3270" s="136"/>
      <c r="I3270" s="137">
        <f>I3269</f>
        <v>0</v>
      </c>
    </row>
    <row r="3271" spans="2:10" ht="15.95" customHeight="1" x14ac:dyDescent="0.25">
      <c r="C3271" s="158" t="s">
        <v>390</v>
      </c>
      <c r="D3271" s="159" t="s">
        <v>391</v>
      </c>
      <c r="E3271" s="160"/>
      <c r="F3271" s="160"/>
      <c r="G3271" s="161"/>
      <c r="H3271" s="162">
        <f>IF(AND(D3271&lt;&gt;"",F3271&lt;&gt;""),IF(C3271="",IF(F3271="OH",VLOOKUP(D3271,[1]UPAH!$B$3:$G$32,7,0),VLOOKUP(D3271,[1]BAHAN!$A$2:$D$3,4,0)),0),0)</f>
        <v>0</v>
      </c>
      <c r="I3271" s="126">
        <f>SUM(I3259:I3270)/2</f>
        <v>75560.209999999992</v>
      </c>
    </row>
    <row r="3272" spans="2:10" ht="15.95" customHeight="1" thickBot="1" x14ac:dyDescent="0.3">
      <c r="C3272" s="147" t="s">
        <v>392</v>
      </c>
      <c r="D3272" s="148" t="s">
        <v>393</v>
      </c>
      <c r="E3272" s="149"/>
      <c r="F3272" s="149"/>
      <c r="G3272" s="164">
        <v>0.1</v>
      </c>
      <c r="H3272" s="151"/>
      <c r="I3272" s="146">
        <f>G3272*I3271</f>
        <v>7556.0209999999997</v>
      </c>
    </row>
    <row r="3273" spans="2:10" ht="15.95" customHeight="1" thickBot="1" x14ac:dyDescent="0.3">
      <c r="C3273" s="111" t="s">
        <v>394</v>
      </c>
      <c r="D3273" s="112" t="s">
        <v>395</v>
      </c>
      <c r="E3273" s="134"/>
      <c r="F3273" s="134"/>
      <c r="G3273" s="156"/>
      <c r="H3273" s="136">
        <f>IF(AND(D3273&lt;&gt;"",F3273&lt;&gt;""),IF(C3273="",IF(F3273="OH",VLOOKUP(D3273,[1]UPAH!$B$3:$G$32,7,0),VLOOKUP(D3273,[1]BAHAN!$A$2:$D$3,4,0)),0),0)</f>
        <v>0</v>
      </c>
      <c r="I3273" s="137">
        <f>ROUNDDOWN(I3271+I3272,0)</f>
        <v>83116</v>
      </c>
    </row>
    <row r="3274" spans="2:10" ht="15.95" customHeight="1" x14ac:dyDescent="0.25">
      <c r="C3274" s="109"/>
      <c r="D3274" s="109"/>
      <c r="G3274" s="157"/>
    </row>
    <row r="3275" spans="2:10" ht="15.95" customHeight="1" thickBot="1" x14ac:dyDescent="0.3">
      <c r="B3275" s="109" t="s">
        <v>908</v>
      </c>
      <c r="C3275" s="104" t="s">
        <v>909</v>
      </c>
      <c r="G3275" s="157"/>
      <c r="J3275" s="110">
        <f>I3291</f>
        <v>131464</v>
      </c>
    </row>
    <row r="3276" spans="2:10" ht="15.95" customHeight="1" thickBot="1" x14ac:dyDescent="0.3">
      <c r="C3276" s="111" t="s">
        <v>328</v>
      </c>
      <c r="D3276" s="112" t="s">
        <v>359</v>
      </c>
      <c r="E3276" s="113" t="s">
        <v>360</v>
      </c>
      <c r="F3276" s="113" t="s">
        <v>330</v>
      </c>
      <c r="G3276" s="114" t="s">
        <v>361</v>
      </c>
      <c r="H3276" s="112" t="s">
        <v>362</v>
      </c>
      <c r="I3276" s="115" t="s">
        <v>363</v>
      </c>
    </row>
    <row r="3277" spans="2:10" ht="15.95" customHeight="1" x14ac:dyDescent="0.25">
      <c r="C3277" s="116" t="s">
        <v>364</v>
      </c>
      <c r="D3277" s="117" t="s">
        <v>365</v>
      </c>
      <c r="E3277" s="118"/>
      <c r="F3277" s="118"/>
      <c r="G3277" s="165"/>
      <c r="H3277" s="144"/>
      <c r="I3277" s="126"/>
    </row>
    <row r="3278" spans="2:10" ht="15.95" customHeight="1" x14ac:dyDescent="0.25">
      <c r="C3278" s="122"/>
      <c r="D3278" s="117" t="s">
        <v>366</v>
      </c>
      <c r="E3278" s="123" t="s">
        <v>367</v>
      </c>
      <c r="F3278" s="123" t="s">
        <v>368</v>
      </c>
      <c r="G3278" s="124">
        <v>0.4</v>
      </c>
      <c r="H3278" s="125">
        <f>VLOOKUP(D3278,Upah,8,FALSE)</f>
        <v>125000</v>
      </c>
      <c r="I3278" s="126">
        <f>G3278*H3278</f>
        <v>50000</v>
      </c>
    </row>
    <row r="3279" spans="2:10" ht="15.95" customHeight="1" x14ac:dyDescent="0.25">
      <c r="C3279" s="122"/>
      <c r="D3279" s="117" t="s">
        <v>505</v>
      </c>
      <c r="E3279" s="123" t="s">
        <v>414</v>
      </c>
      <c r="F3279" s="123" t="s">
        <v>368</v>
      </c>
      <c r="G3279" s="124">
        <v>0.2</v>
      </c>
      <c r="H3279" s="125">
        <f>VLOOKUP(D3279,Upah,8,FALSE)</f>
        <v>150000</v>
      </c>
      <c r="I3279" s="126">
        <f>G3279*H3279</f>
        <v>30000</v>
      </c>
    </row>
    <row r="3280" spans="2:10" ht="15.95" customHeight="1" x14ac:dyDescent="0.25">
      <c r="C3280" s="122"/>
      <c r="D3280" s="117" t="s">
        <v>371</v>
      </c>
      <c r="E3280" s="123" t="s">
        <v>372</v>
      </c>
      <c r="F3280" s="123" t="s">
        <v>368</v>
      </c>
      <c r="G3280" s="124">
        <v>0.02</v>
      </c>
      <c r="H3280" s="125">
        <f>VLOOKUP(D3280,Upah,8,FALSE)</f>
        <v>165000</v>
      </c>
      <c r="I3280" s="126">
        <f>G3280*H3280</f>
        <v>3300</v>
      </c>
    </row>
    <row r="3281" spans="2:10" ht="15.95" customHeight="1" thickBot="1" x14ac:dyDescent="0.3">
      <c r="C3281" s="122"/>
      <c r="D3281" s="117" t="s">
        <v>373</v>
      </c>
      <c r="E3281" s="123" t="s">
        <v>374</v>
      </c>
      <c r="F3281" s="123" t="s">
        <v>368</v>
      </c>
      <c r="G3281" s="124">
        <v>2.1999999999999999E-2</v>
      </c>
      <c r="H3281" s="125">
        <f>VLOOKUP(D3281,Upah,8,FALSE)</f>
        <v>170000</v>
      </c>
      <c r="I3281" s="126">
        <f>G3281*H3281</f>
        <v>3740</v>
      </c>
    </row>
    <row r="3282" spans="2:10" ht="15.95" customHeight="1" thickBot="1" x14ac:dyDescent="0.3">
      <c r="C3282" s="132"/>
      <c r="D3282" s="133"/>
      <c r="E3282" s="134"/>
      <c r="F3282" s="134"/>
      <c r="G3282" s="135" t="s">
        <v>375</v>
      </c>
      <c r="H3282" s="136"/>
      <c r="I3282" s="137">
        <f>SUM(I3278:I3281)</f>
        <v>87040</v>
      </c>
    </row>
    <row r="3283" spans="2:10" ht="15.95" customHeight="1" x14ac:dyDescent="0.25">
      <c r="C3283" s="116" t="s">
        <v>376</v>
      </c>
      <c r="D3283" s="117" t="s">
        <v>377</v>
      </c>
      <c r="E3283" s="118"/>
      <c r="F3283" s="118"/>
      <c r="G3283" s="165"/>
      <c r="H3283" s="144"/>
      <c r="I3283" s="126"/>
    </row>
    <row r="3284" spans="2:10" ht="15.95" customHeight="1" x14ac:dyDescent="0.25">
      <c r="C3284" s="122"/>
      <c r="D3284" s="117" t="s">
        <v>380</v>
      </c>
      <c r="E3284" s="118"/>
      <c r="F3284" s="123" t="s">
        <v>159</v>
      </c>
      <c r="G3284" s="124">
        <v>13.632</v>
      </c>
      <c r="H3284" s="144">
        <f>VLOOKUP(D3284,Bahan,6,FALSE)</f>
        <v>1880</v>
      </c>
      <c r="I3284" s="126">
        <f>G3284*H3284</f>
        <v>25628.16</v>
      </c>
    </row>
    <row r="3285" spans="2:10" ht="15.95" customHeight="1" thickBot="1" x14ac:dyDescent="0.3">
      <c r="C3285" s="122"/>
      <c r="D3285" s="117" t="s">
        <v>493</v>
      </c>
      <c r="E3285" s="118"/>
      <c r="F3285" s="123" t="s">
        <v>158</v>
      </c>
      <c r="G3285" s="124">
        <v>2.7E-2</v>
      </c>
      <c r="H3285" s="144">
        <f>VLOOKUP(D3285,Bahan,6,FALSE)</f>
        <v>253510</v>
      </c>
      <c r="I3285" s="126">
        <f>G3285*H3285</f>
        <v>6844.7699999999995</v>
      </c>
    </row>
    <row r="3286" spans="2:10" ht="15.95" customHeight="1" thickBot="1" x14ac:dyDescent="0.3">
      <c r="C3286" s="132"/>
      <c r="D3286" s="133"/>
      <c r="E3286" s="134"/>
      <c r="F3286" s="134"/>
      <c r="G3286" s="135" t="s">
        <v>386</v>
      </c>
      <c r="H3286" s="136"/>
      <c r="I3286" s="137">
        <f>SUM(I3284:I3285)</f>
        <v>32472.93</v>
      </c>
    </row>
    <row r="3287" spans="2:10" ht="15.95" customHeight="1" thickBot="1" x14ac:dyDescent="0.3">
      <c r="C3287" s="116" t="s">
        <v>387</v>
      </c>
      <c r="D3287" s="117" t="s">
        <v>388</v>
      </c>
      <c r="E3287" s="118"/>
      <c r="F3287" s="118"/>
      <c r="G3287" s="165"/>
      <c r="H3287" s="144">
        <f>IF(AND(D3287&lt;&gt;"",F3287&lt;&gt;""),IF(C3287="",IF(F3287="OH",VLOOKUP(D3287,[1]UPAH!$B$3:$G$32,7,0),VLOOKUP(D3287,[1]BAHAN!$A$2:$D$3,4,0)),0),0)</f>
        <v>0</v>
      </c>
      <c r="I3287" s="126">
        <f>G3287*H3287</f>
        <v>0</v>
      </c>
    </row>
    <row r="3288" spans="2:10" ht="15.95" customHeight="1" thickBot="1" x14ac:dyDescent="0.3">
      <c r="C3288" s="132"/>
      <c r="D3288" s="133"/>
      <c r="E3288" s="134"/>
      <c r="F3288" s="134"/>
      <c r="G3288" s="135" t="s">
        <v>389</v>
      </c>
      <c r="H3288" s="136"/>
      <c r="I3288" s="137">
        <f>I3287</f>
        <v>0</v>
      </c>
    </row>
    <row r="3289" spans="2:10" ht="15.95" customHeight="1" x14ac:dyDescent="0.25">
      <c r="C3289" s="158" t="s">
        <v>390</v>
      </c>
      <c r="D3289" s="159" t="s">
        <v>391</v>
      </c>
      <c r="E3289" s="160"/>
      <c r="F3289" s="160"/>
      <c r="G3289" s="161"/>
      <c r="H3289" s="162">
        <f>IF(AND(D3289&lt;&gt;"",F3289&lt;&gt;""),IF(C3289="",IF(F3289="OH",VLOOKUP(D3289,[1]UPAH!$B$3:$G$32,7,0),VLOOKUP(D3289,[1]BAHAN!$A$2:$D$3,4,0)),0),0)</f>
        <v>0</v>
      </c>
      <c r="I3289" s="126">
        <f>SUM(I3278:I3288)/2</f>
        <v>119512.93</v>
      </c>
    </row>
    <row r="3290" spans="2:10" ht="15.95" customHeight="1" thickBot="1" x14ac:dyDescent="0.3">
      <c r="C3290" s="147" t="s">
        <v>392</v>
      </c>
      <c r="D3290" s="148" t="s">
        <v>393</v>
      </c>
      <c r="E3290" s="149"/>
      <c r="F3290" s="149"/>
      <c r="G3290" s="164">
        <v>0.1</v>
      </c>
      <c r="H3290" s="151"/>
      <c r="I3290" s="146">
        <f>G3290*I3289</f>
        <v>11951.293</v>
      </c>
    </row>
    <row r="3291" spans="2:10" ht="15.95" customHeight="1" thickBot="1" x14ac:dyDescent="0.3">
      <c r="C3291" s="111" t="s">
        <v>394</v>
      </c>
      <c r="D3291" s="112" t="s">
        <v>395</v>
      </c>
      <c r="E3291" s="134"/>
      <c r="F3291" s="134"/>
      <c r="G3291" s="156"/>
      <c r="H3291" s="136">
        <f>IF(AND(D3291&lt;&gt;"",F3291&lt;&gt;""),IF(C3291="",IF(F3291="OH",VLOOKUP(D3291,[1]UPAH!$B$3:$G$32,7,0),VLOOKUP(D3291,[1]BAHAN!$A$2:$D$3,4,0)),0),0)</f>
        <v>0</v>
      </c>
      <c r="I3291" s="137">
        <f>ROUNDDOWN(I3289+I3290,0)</f>
        <v>131464</v>
      </c>
    </row>
    <row r="3292" spans="2:10" ht="15.95" customHeight="1" x14ac:dyDescent="0.25">
      <c r="C3292" s="109"/>
      <c r="D3292" s="109"/>
      <c r="G3292" s="157"/>
    </row>
    <row r="3293" spans="2:10" ht="15.95" customHeight="1" thickBot="1" x14ac:dyDescent="0.3">
      <c r="B3293" s="109" t="s">
        <v>910</v>
      </c>
      <c r="C3293" s="104" t="s">
        <v>911</v>
      </c>
      <c r="G3293" s="157"/>
      <c r="J3293" s="110">
        <f>I3309</f>
        <v>104896</v>
      </c>
    </row>
    <row r="3294" spans="2:10" ht="15.95" customHeight="1" thickBot="1" x14ac:dyDescent="0.3">
      <c r="C3294" s="111" t="s">
        <v>328</v>
      </c>
      <c r="D3294" s="112" t="s">
        <v>359</v>
      </c>
      <c r="E3294" s="113" t="s">
        <v>360</v>
      </c>
      <c r="F3294" s="113" t="s">
        <v>330</v>
      </c>
      <c r="G3294" s="114" t="s">
        <v>361</v>
      </c>
      <c r="H3294" s="112" t="s">
        <v>362</v>
      </c>
      <c r="I3294" s="115" t="s">
        <v>363</v>
      </c>
    </row>
    <row r="3295" spans="2:10" ht="15.95" customHeight="1" x14ac:dyDescent="0.25">
      <c r="C3295" s="116" t="s">
        <v>364</v>
      </c>
      <c r="D3295" s="117" t="s">
        <v>365</v>
      </c>
      <c r="E3295" s="118"/>
      <c r="F3295" s="118"/>
      <c r="G3295" s="165"/>
      <c r="H3295" s="144"/>
      <c r="I3295" s="126"/>
    </row>
    <row r="3296" spans="2:10" ht="15.95" customHeight="1" x14ac:dyDescent="0.25">
      <c r="C3296" s="122"/>
      <c r="D3296" s="117" t="s">
        <v>366</v>
      </c>
      <c r="E3296" s="123" t="s">
        <v>367</v>
      </c>
      <c r="F3296" s="123" t="s">
        <v>368</v>
      </c>
      <c r="G3296" s="124">
        <v>0.26</v>
      </c>
      <c r="H3296" s="125">
        <f>VLOOKUP(D3296,Upah,8,FALSE)</f>
        <v>125000</v>
      </c>
      <c r="I3296" s="126">
        <f>G3296*H3296</f>
        <v>32500</v>
      </c>
    </row>
    <row r="3297" spans="2:10" ht="15.95" customHeight="1" x14ac:dyDescent="0.25">
      <c r="C3297" s="122"/>
      <c r="D3297" s="117" t="s">
        <v>505</v>
      </c>
      <c r="E3297" s="123" t="s">
        <v>414</v>
      </c>
      <c r="F3297" s="123" t="s">
        <v>368</v>
      </c>
      <c r="G3297" s="124">
        <v>0.2</v>
      </c>
      <c r="H3297" s="125">
        <f>VLOOKUP(D3297,Upah,8,FALSE)</f>
        <v>150000</v>
      </c>
      <c r="I3297" s="126">
        <f>G3297*H3297</f>
        <v>30000</v>
      </c>
    </row>
    <row r="3298" spans="2:10" ht="15.95" customHeight="1" x14ac:dyDescent="0.25">
      <c r="C3298" s="122"/>
      <c r="D3298" s="117" t="s">
        <v>371</v>
      </c>
      <c r="E3298" s="123" t="s">
        <v>372</v>
      </c>
      <c r="F3298" s="123" t="s">
        <v>368</v>
      </c>
      <c r="G3298" s="124">
        <v>0.02</v>
      </c>
      <c r="H3298" s="125">
        <f>VLOOKUP(D3298,Upah,8,FALSE)</f>
        <v>165000</v>
      </c>
      <c r="I3298" s="126">
        <f>G3298*H3298</f>
        <v>3300</v>
      </c>
    </row>
    <row r="3299" spans="2:10" ht="15.95" customHeight="1" thickBot="1" x14ac:dyDescent="0.3">
      <c r="C3299" s="122"/>
      <c r="D3299" s="117" t="s">
        <v>373</v>
      </c>
      <c r="E3299" s="123" t="s">
        <v>374</v>
      </c>
      <c r="F3299" s="123" t="s">
        <v>368</v>
      </c>
      <c r="G3299" s="124">
        <v>1.2999999999999999E-2</v>
      </c>
      <c r="H3299" s="125">
        <f>VLOOKUP(D3299,Upah,8,FALSE)</f>
        <v>170000</v>
      </c>
      <c r="I3299" s="126">
        <f>G3299*H3299</f>
        <v>2210</v>
      </c>
    </row>
    <row r="3300" spans="2:10" ht="15.95" customHeight="1" thickBot="1" x14ac:dyDescent="0.3">
      <c r="C3300" s="132"/>
      <c r="D3300" s="133"/>
      <c r="E3300" s="134"/>
      <c r="F3300" s="134"/>
      <c r="G3300" s="135" t="s">
        <v>375</v>
      </c>
      <c r="H3300" s="136"/>
      <c r="I3300" s="137">
        <f>SUM(I3296:I3299)</f>
        <v>68010</v>
      </c>
    </row>
    <row r="3301" spans="2:10" ht="15.95" customHeight="1" x14ac:dyDescent="0.25">
      <c r="C3301" s="116" t="s">
        <v>376</v>
      </c>
      <c r="D3301" s="117" t="s">
        <v>377</v>
      </c>
      <c r="E3301" s="118"/>
      <c r="F3301" s="118"/>
      <c r="G3301" s="165"/>
      <c r="H3301" s="144"/>
      <c r="I3301" s="126"/>
    </row>
    <row r="3302" spans="2:10" ht="15.95" customHeight="1" x14ac:dyDescent="0.25">
      <c r="C3302" s="122"/>
      <c r="D3302" s="117" t="s">
        <v>380</v>
      </c>
      <c r="E3302" s="118"/>
      <c r="F3302" s="123" t="s">
        <v>159</v>
      </c>
      <c r="G3302" s="124">
        <v>10.368</v>
      </c>
      <c r="H3302" s="144">
        <f>VLOOKUP(D3302,Bahan,6,FALSE)</f>
        <v>1880</v>
      </c>
      <c r="I3302" s="126">
        <f>G3302*H3302</f>
        <v>19491.84</v>
      </c>
    </row>
    <row r="3303" spans="2:10" ht="15.95" customHeight="1" thickBot="1" x14ac:dyDescent="0.3">
      <c r="C3303" s="122"/>
      <c r="D3303" s="117" t="s">
        <v>493</v>
      </c>
      <c r="E3303" s="118"/>
      <c r="F3303" s="123" t="s">
        <v>158</v>
      </c>
      <c r="G3303" s="124">
        <v>3.1E-2</v>
      </c>
      <c r="H3303" s="144">
        <f>VLOOKUP(D3303,Bahan,6,FALSE)</f>
        <v>253510</v>
      </c>
      <c r="I3303" s="126">
        <f>G3303*H3303</f>
        <v>7858.8099999999995</v>
      </c>
    </row>
    <row r="3304" spans="2:10" ht="15.95" customHeight="1" thickBot="1" x14ac:dyDescent="0.3">
      <c r="C3304" s="132"/>
      <c r="D3304" s="133"/>
      <c r="E3304" s="134"/>
      <c r="F3304" s="134"/>
      <c r="G3304" s="135" t="s">
        <v>386</v>
      </c>
      <c r="H3304" s="136"/>
      <c r="I3304" s="137">
        <f>SUM(I3302:I3303)</f>
        <v>27350.65</v>
      </c>
    </row>
    <row r="3305" spans="2:10" ht="15.95" customHeight="1" thickBot="1" x14ac:dyDescent="0.3">
      <c r="C3305" s="116" t="s">
        <v>387</v>
      </c>
      <c r="D3305" s="117" t="s">
        <v>388</v>
      </c>
      <c r="E3305" s="118"/>
      <c r="F3305" s="118"/>
      <c r="G3305" s="165"/>
      <c r="H3305" s="144">
        <f>IF(AND(D3305&lt;&gt;"",F3305&lt;&gt;""),IF(C3305="",IF(F3305="OH",VLOOKUP(D3305,[1]UPAH!$B$3:$G$32,7,0),VLOOKUP(D3305,[1]BAHAN!$A$2:$D$3,4,0)),0),0)</f>
        <v>0</v>
      </c>
      <c r="I3305" s="126">
        <f>G3305*H3305</f>
        <v>0</v>
      </c>
    </row>
    <row r="3306" spans="2:10" ht="15.95" customHeight="1" thickBot="1" x14ac:dyDescent="0.3">
      <c r="C3306" s="132"/>
      <c r="D3306" s="133"/>
      <c r="E3306" s="134"/>
      <c r="F3306" s="134"/>
      <c r="G3306" s="135" t="s">
        <v>389</v>
      </c>
      <c r="H3306" s="136"/>
      <c r="I3306" s="137">
        <f>I3305</f>
        <v>0</v>
      </c>
    </row>
    <row r="3307" spans="2:10" ht="15.95" customHeight="1" x14ac:dyDescent="0.25">
      <c r="C3307" s="158" t="s">
        <v>390</v>
      </c>
      <c r="D3307" s="159" t="s">
        <v>391</v>
      </c>
      <c r="E3307" s="160"/>
      <c r="F3307" s="160"/>
      <c r="G3307" s="161"/>
      <c r="H3307" s="162">
        <f>IF(AND(D3307&lt;&gt;"",F3307&lt;&gt;""),IF(C3307="",IF(F3307="OH",VLOOKUP(D3307,[1]UPAH!$B$3:$G$32,7,0),VLOOKUP(D3307,[1]BAHAN!$A$2:$D$3,4,0)),0),0)</f>
        <v>0</v>
      </c>
      <c r="I3307" s="126">
        <f>SUM(I3296:I3306)/2</f>
        <v>95360.65</v>
      </c>
    </row>
    <row r="3308" spans="2:10" ht="15.95" customHeight="1" thickBot="1" x14ac:dyDescent="0.3">
      <c r="C3308" s="147" t="s">
        <v>392</v>
      </c>
      <c r="D3308" s="148" t="s">
        <v>393</v>
      </c>
      <c r="E3308" s="149"/>
      <c r="F3308" s="149"/>
      <c r="G3308" s="164">
        <v>0.1</v>
      </c>
      <c r="H3308" s="151"/>
      <c r="I3308" s="146">
        <f>G3308*I3307</f>
        <v>9536.0650000000005</v>
      </c>
    </row>
    <row r="3309" spans="2:10" ht="15.95" customHeight="1" thickBot="1" x14ac:dyDescent="0.3">
      <c r="C3309" s="111" t="s">
        <v>394</v>
      </c>
      <c r="D3309" s="112" t="s">
        <v>395</v>
      </c>
      <c r="E3309" s="134"/>
      <c r="F3309" s="134"/>
      <c r="G3309" s="156"/>
      <c r="H3309" s="136">
        <f>IF(AND(D3309&lt;&gt;"",F3309&lt;&gt;""),IF(C3309="",IF(F3309="OH",VLOOKUP(D3309,[1]UPAH!$B$3:$G$32,7,0),VLOOKUP(D3309,[1]BAHAN!$A$2:$D$3,4,0)),0),0)</f>
        <v>0</v>
      </c>
      <c r="I3309" s="137">
        <f>ROUNDDOWN(I3307+I3308,0)</f>
        <v>104896</v>
      </c>
    </row>
    <row r="3310" spans="2:10" ht="15.95" customHeight="1" x14ac:dyDescent="0.25">
      <c r="C3310" s="109"/>
      <c r="D3310" s="109"/>
      <c r="G3310" s="157"/>
    </row>
    <row r="3311" spans="2:10" ht="15.95" customHeight="1" thickBot="1" x14ac:dyDescent="0.3">
      <c r="B3311" s="109" t="s">
        <v>912</v>
      </c>
      <c r="C3311" s="104" t="s">
        <v>913</v>
      </c>
      <c r="G3311" s="157"/>
      <c r="J3311" s="110">
        <f>I3327</f>
        <v>121873</v>
      </c>
    </row>
    <row r="3312" spans="2:10" ht="15.95" customHeight="1" thickBot="1" x14ac:dyDescent="0.3">
      <c r="C3312" s="111" t="s">
        <v>328</v>
      </c>
      <c r="D3312" s="112" t="s">
        <v>359</v>
      </c>
      <c r="E3312" s="113" t="s">
        <v>360</v>
      </c>
      <c r="F3312" s="113" t="s">
        <v>330</v>
      </c>
      <c r="G3312" s="114" t="s">
        <v>361</v>
      </c>
      <c r="H3312" s="112" t="s">
        <v>362</v>
      </c>
      <c r="I3312" s="115" t="s">
        <v>363</v>
      </c>
    </row>
    <row r="3313" spans="3:9" ht="15.95" customHeight="1" x14ac:dyDescent="0.25">
      <c r="C3313" s="116" t="s">
        <v>364</v>
      </c>
      <c r="D3313" s="117" t="s">
        <v>365</v>
      </c>
      <c r="E3313" s="118"/>
      <c r="F3313" s="118"/>
      <c r="G3313" s="165"/>
      <c r="H3313" s="144"/>
      <c r="I3313" s="126"/>
    </row>
    <row r="3314" spans="3:9" ht="15.95" customHeight="1" x14ac:dyDescent="0.25">
      <c r="C3314" s="122"/>
      <c r="D3314" s="117" t="s">
        <v>366</v>
      </c>
      <c r="E3314" s="123" t="s">
        <v>367</v>
      </c>
      <c r="F3314" s="123" t="s">
        <v>368</v>
      </c>
      <c r="G3314" s="124">
        <v>0.4</v>
      </c>
      <c r="H3314" s="125">
        <f>VLOOKUP(D3314,Upah,8,FALSE)</f>
        <v>125000</v>
      </c>
      <c r="I3314" s="126">
        <f>G3314*H3314</f>
        <v>50000</v>
      </c>
    </row>
    <row r="3315" spans="3:9" ht="15.95" customHeight="1" x14ac:dyDescent="0.25">
      <c r="C3315" s="122"/>
      <c r="D3315" s="117" t="s">
        <v>505</v>
      </c>
      <c r="E3315" s="123" t="s">
        <v>414</v>
      </c>
      <c r="F3315" s="123" t="s">
        <v>368</v>
      </c>
      <c r="G3315" s="124">
        <v>0.2</v>
      </c>
      <c r="H3315" s="125">
        <f>VLOOKUP(D3315,Upah,8,FALSE)</f>
        <v>150000</v>
      </c>
      <c r="I3315" s="126">
        <f>G3315*H3315</f>
        <v>30000</v>
      </c>
    </row>
    <row r="3316" spans="3:9" ht="15.95" customHeight="1" x14ac:dyDescent="0.25">
      <c r="C3316" s="122"/>
      <c r="D3316" s="117" t="s">
        <v>371</v>
      </c>
      <c r="E3316" s="123" t="s">
        <v>372</v>
      </c>
      <c r="F3316" s="123" t="s">
        <v>368</v>
      </c>
      <c r="G3316" s="124">
        <v>0.02</v>
      </c>
      <c r="H3316" s="125">
        <f>VLOOKUP(D3316,Upah,8,FALSE)</f>
        <v>165000</v>
      </c>
      <c r="I3316" s="126">
        <f>G3316*H3316</f>
        <v>3300</v>
      </c>
    </row>
    <row r="3317" spans="3:9" ht="15.95" customHeight="1" thickBot="1" x14ac:dyDescent="0.3">
      <c r="C3317" s="122"/>
      <c r="D3317" s="117" t="s">
        <v>373</v>
      </c>
      <c r="E3317" s="123" t="s">
        <v>374</v>
      </c>
      <c r="F3317" s="123" t="s">
        <v>368</v>
      </c>
      <c r="G3317" s="124">
        <v>2.1999999999999999E-2</v>
      </c>
      <c r="H3317" s="125">
        <f>VLOOKUP(D3317,Upah,8,FALSE)</f>
        <v>170000</v>
      </c>
      <c r="I3317" s="126">
        <f>G3317*H3317</f>
        <v>3740</v>
      </c>
    </row>
    <row r="3318" spans="3:9" ht="15.95" customHeight="1" thickBot="1" x14ac:dyDescent="0.3">
      <c r="C3318" s="132"/>
      <c r="D3318" s="133"/>
      <c r="E3318" s="134"/>
      <c r="F3318" s="134"/>
      <c r="G3318" s="135" t="s">
        <v>375</v>
      </c>
      <c r="H3318" s="136"/>
      <c r="I3318" s="137">
        <f>SUM(I3314:I3317)</f>
        <v>87040</v>
      </c>
    </row>
    <row r="3319" spans="3:9" ht="15.95" customHeight="1" x14ac:dyDescent="0.25">
      <c r="C3319" s="116" t="s">
        <v>376</v>
      </c>
      <c r="D3319" s="117" t="s">
        <v>377</v>
      </c>
      <c r="E3319" s="118"/>
      <c r="F3319" s="118"/>
      <c r="G3319" s="165"/>
      <c r="H3319" s="144"/>
      <c r="I3319" s="126"/>
    </row>
    <row r="3320" spans="3:9" ht="15.95" customHeight="1" x14ac:dyDescent="0.25">
      <c r="C3320" s="122"/>
      <c r="D3320" s="117" t="s">
        <v>380</v>
      </c>
      <c r="E3320" s="118"/>
      <c r="F3320" s="123" t="s">
        <v>159</v>
      </c>
      <c r="G3320" s="124">
        <v>8.32</v>
      </c>
      <c r="H3320" s="144">
        <f>VLOOKUP(D3320,Bahan,6,FALSE)</f>
        <v>1880</v>
      </c>
      <c r="I3320" s="126">
        <f>G3320*H3320</f>
        <v>15641.6</v>
      </c>
    </row>
    <row r="3321" spans="3:9" ht="15.95" customHeight="1" thickBot="1" x14ac:dyDescent="0.3">
      <c r="C3321" s="122"/>
      <c r="D3321" s="117" t="s">
        <v>493</v>
      </c>
      <c r="E3321" s="118"/>
      <c r="F3321" s="123" t="s">
        <v>158</v>
      </c>
      <c r="G3321" s="124">
        <v>3.2000000000000001E-2</v>
      </c>
      <c r="H3321" s="144">
        <f>VLOOKUP(D3321,Bahan,6,FALSE)</f>
        <v>253510</v>
      </c>
      <c r="I3321" s="126">
        <f>G3321*H3321</f>
        <v>8112.3200000000006</v>
      </c>
    </row>
    <row r="3322" spans="3:9" ht="15.95" customHeight="1" thickBot="1" x14ac:dyDescent="0.3">
      <c r="C3322" s="132"/>
      <c r="D3322" s="133"/>
      <c r="E3322" s="134"/>
      <c r="F3322" s="134"/>
      <c r="G3322" s="135" t="s">
        <v>386</v>
      </c>
      <c r="H3322" s="136"/>
      <c r="I3322" s="137">
        <f>SUM(I3320:I3321)</f>
        <v>23753.920000000002</v>
      </c>
    </row>
    <row r="3323" spans="3:9" ht="15.95" customHeight="1" thickBot="1" x14ac:dyDescent="0.3">
      <c r="C3323" s="116" t="s">
        <v>387</v>
      </c>
      <c r="D3323" s="117" t="s">
        <v>388</v>
      </c>
      <c r="E3323" s="118"/>
      <c r="F3323" s="118"/>
      <c r="G3323" s="165"/>
      <c r="H3323" s="144">
        <f>IF(AND(D3323&lt;&gt;"",F3323&lt;&gt;""),IF(C3323="",IF(F3323="OH",VLOOKUP(D3323,[1]UPAH!$B$3:$G$32,7,0),VLOOKUP(D3323,[1]BAHAN!$A$2:$D$3,4,0)),0),0)</f>
        <v>0</v>
      </c>
      <c r="I3323" s="126">
        <f>G3323*H3323</f>
        <v>0</v>
      </c>
    </row>
    <row r="3324" spans="3:9" ht="15.95" customHeight="1" thickBot="1" x14ac:dyDescent="0.3">
      <c r="C3324" s="132"/>
      <c r="D3324" s="133"/>
      <c r="E3324" s="134"/>
      <c r="F3324" s="134"/>
      <c r="G3324" s="135" t="s">
        <v>389</v>
      </c>
      <c r="H3324" s="136"/>
      <c r="I3324" s="137">
        <f>I3323</f>
        <v>0</v>
      </c>
    </row>
    <row r="3325" spans="3:9" ht="15.95" customHeight="1" x14ac:dyDescent="0.25">
      <c r="C3325" s="158" t="s">
        <v>390</v>
      </c>
      <c r="D3325" s="159" t="s">
        <v>391</v>
      </c>
      <c r="E3325" s="160"/>
      <c r="F3325" s="160"/>
      <c r="G3325" s="161"/>
      <c r="H3325" s="162">
        <f>IF(AND(D3325&lt;&gt;"",F3325&lt;&gt;""),IF(C3325="",IF(F3325="OH",VLOOKUP(D3325,[1]UPAH!$B$3:$G$32,7,0),VLOOKUP(D3325,[1]BAHAN!$A$2:$D$3,4,0)),0),0)</f>
        <v>0</v>
      </c>
      <c r="I3325" s="126">
        <f>SUM(I3314:I3324)/2</f>
        <v>110793.92000000001</v>
      </c>
    </row>
    <row r="3326" spans="3:9" ht="15.95" customHeight="1" thickBot="1" x14ac:dyDescent="0.3">
      <c r="C3326" s="147" t="s">
        <v>392</v>
      </c>
      <c r="D3326" s="148" t="s">
        <v>393</v>
      </c>
      <c r="E3326" s="149"/>
      <c r="F3326" s="149"/>
      <c r="G3326" s="164">
        <v>0.1</v>
      </c>
      <c r="H3326" s="151"/>
      <c r="I3326" s="146">
        <f>G3326*I3325</f>
        <v>11079.392000000002</v>
      </c>
    </row>
    <row r="3327" spans="3:9" ht="15.95" customHeight="1" thickBot="1" x14ac:dyDescent="0.3">
      <c r="C3327" s="111" t="s">
        <v>394</v>
      </c>
      <c r="D3327" s="112" t="s">
        <v>395</v>
      </c>
      <c r="E3327" s="134"/>
      <c r="F3327" s="134"/>
      <c r="G3327" s="156"/>
      <c r="H3327" s="136">
        <f>IF(AND(D3327&lt;&gt;"",F3327&lt;&gt;""),IF(C3327="",IF(F3327="OH",VLOOKUP(D3327,[1]UPAH!$B$3:$G$32,7,0),VLOOKUP(D3327,[1]BAHAN!$A$2:$D$3,4,0)),0),0)</f>
        <v>0</v>
      </c>
      <c r="I3327" s="137">
        <f>ROUNDDOWN(I3325+I3326,0)</f>
        <v>121873</v>
      </c>
    </row>
    <row r="3328" spans="3:9" ht="15.95" customHeight="1" x14ac:dyDescent="0.25">
      <c r="C3328" s="109"/>
      <c r="D3328" s="109"/>
      <c r="G3328" s="157"/>
    </row>
    <row r="3329" spans="2:10" ht="15.95" customHeight="1" thickBot="1" x14ac:dyDescent="0.3">
      <c r="B3329" s="109" t="s">
        <v>914</v>
      </c>
      <c r="C3329" s="104" t="s">
        <v>915</v>
      </c>
      <c r="G3329" s="157"/>
      <c r="J3329" s="110">
        <f>I3345</f>
        <v>119798</v>
      </c>
    </row>
    <row r="3330" spans="2:10" ht="15.95" customHeight="1" thickBot="1" x14ac:dyDescent="0.3">
      <c r="C3330" s="111" t="s">
        <v>328</v>
      </c>
      <c r="D3330" s="112" t="s">
        <v>359</v>
      </c>
      <c r="E3330" s="113" t="s">
        <v>360</v>
      </c>
      <c r="F3330" s="113" t="s">
        <v>330</v>
      </c>
      <c r="G3330" s="114" t="s">
        <v>361</v>
      </c>
      <c r="H3330" s="112" t="s">
        <v>362</v>
      </c>
      <c r="I3330" s="115" t="s">
        <v>363</v>
      </c>
    </row>
    <row r="3331" spans="2:10" ht="15.95" customHeight="1" x14ac:dyDescent="0.25">
      <c r="C3331" s="158" t="s">
        <v>364</v>
      </c>
      <c r="D3331" s="159" t="s">
        <v>365</v>
      </c>
      <c r="E3331" s="160"/>
      <c r="F3331" s="160"/>
      <c r="G3331" s="161"/>
      <c r="H3331" s="162"/>
      <c r="I3331" s="163"/>
    </row>
    <row r="3332" spans="2:10" ht="15.95" customHeight="1" x14ac:dyDescent="0.25">
      <c r="C3332" s="122"/>
      <c r="D3332" s="117" t="s">
        <v>366</v>
      </c>
      <c r="E3332" s="123" t="s">
        <v>367</v>
      </c>
      <c r="F3332" s="123" t="s">
        <v>368</v>
      </c>
      <c r="G3332" s="124">
        <v>0.4</v>
      </c>
      <c r="H3332" s="125">
        <f>VLOOKUP(D3332,Upah,8,FALSE)</f>
        <v>125000</v>
      </c>
      <c r="I3332" s="126">
        <f>G3332*H3332</f>
        <v>50000</v>
      </c>
    </row>
    <row r="3333" spans="2:10" ht="15.95" customHeight="1" x14ac:dyDescent="0.25">
      <c r="C3333" s="122"/>
      <c r="D3333" s="117" t="s">
        <v>505</v>
      </c>
      <c r="E3333" s="123" t="s">
        <v>414</v>
      </c>
      <c r="F3333" s="123" t="s">
        <v>368</v>
      </c>
      <c r="G3333" s="124">
        <v>0.2</v>
      </c>
      <c r="H3333" s="125">
        <f>VLOOKUP(D3333,Upah,8,FALSE)</f>
        <v>150000</v>
      </c>
      <c r="I3333" s="126">
        <f>G3333*H3333</f>
        <v>30000</v>
      </c>
    </row>
    <row r="3334" spans="2:10" ht="15.95" customHeight="1" x14ac:dyDescent="0.25">
      <c r="C3334" s="122"/>
      <c r="D3334" s="117" t="s">
        <v>371</v>
      </c>
      <c r="E3334" s="123" t="s">
        <v>372</v>
      </c>
      <c r="F3334" s="123" t="s">
        <v>368</v>
      </c>
      <c r="G3334" s="124">
        <v>0.02</v>
      </c>
      <c r="H3334" s="125">
        <f>VLOOKUP(D3334,Upah,8,FALSE)</f>
        <v>165000</v>
      </c>
      <c r="I3334" s="126">
        <f>G3334*H3334</f>
        <v>3300</v>
      </c>
    </row>
    <row r="3335" spans="2:10" ht="15.95" customHeight="1" thickBot="1" x14ac:dyDescent="0.3">
      <c r="C3335" s="122"/>
      <c r="D3335" s="117" t="s">
        <v>373</v>
      </c>
      <c r="E3335" s="123" t="s">
        <v>374</v>
      </c>
      <c r="F3335" s="123" t="s">
        <v>368</v>
      </c>
      <c r="G3335" s="124">
        <v>2.1999999999999999E-2</v>
      </c>
      <c r="H3335" s="125">
        <f>VLOOKUP(D3335,Upah,8,FALSE)</f>
        <v>170000</v>
      </c>
      <c r="I3335" s="126">
        <f>G3335*H3335</f>
        <v>3740</v>
      </c>
    </row>
    <row r="3336" spans="2:10" ht="15.95" customHeight="1" thickBot="1" x14ac:dyDescent="0.3">
      <c r="C3336" s="132"/>
      <c r="D3336" s="133"/>
      <c r="E3336" s="134"/>
      <c r="F3336" s="134"/>
      <c r="G3336" s="135" t="s">
        <v>375</v>
      </c>
      <c r="H3336" s="136"/>
      <c r="I3336" s="137">
        <f>SUM(I3332:I3335)</f>
        <v>87040</v>
      </c>
    </row>
    <row r="3337" spans="2:10" ht="15.95" customHeight="1" x14ac:dyDescent="0.25">
      <c r="C3337" s="116" t="s">
        <v>376</v>
      </c>
      <c r="D3337" s="117" t="s">
        <v>377</v>
      </c>
      <c r="E3337" s="118"/>
      <c r="F3337" s="118"/>
      <c r="G3337" s="165"/>
      <c r="H3337" s="144"/>
      <c r="I3337" s="126"/>
    </row>
    <row r="3338" spans="2:10" ht="15.95" customHeight="1" x14ac:dyDescent="0.25">
      <c r="C3338" s="122"/>
      <c r="D3338" s="117" t="s">
        <v>380</v>
      </c>
      <c r="E3338" s="118"/>
      <c r="F3338" s="123" t="s">
        <v>159</v>
      </c>
      <c r="G3338" s="124">
        <v>6.9119999999999999</v>
      </c>
      <c r="H3338" s="144">
        <f>VLOOKUP(D3338,Bahan,6,FALSE)</f>
        <v>1880</v>
      </c>
      <c r="I3338" s="126">
        <f>G3338*H3338</f>
        <v>12994.56</v>
      </c>
    </row>
    <row r="3339" spans="2:10" ht="15.95" customHeight="1" thickBot="1" x14ac:dyDescent="0.3">
      <c r="C3339" s="122"/>
      <c r="D3339" s="117" t="s">
        <v>493</v>
      </c>
      <c r="E3339" s="118"/>
      <c r="F3339" s="123" t="s">
        <v>158</v>
      </c>
      <c r="G3339" s="124">
        <v>3.5000000000000003E-2</v>
      </c>
      <c r="H3339" s="144">
        <f>VLOOKUP(D3339,Bahan,6,FALSE)</f>
        <v>253510</v>
      </c>
      <c r="I3339" s="126">
        <f>G3339*H3339</f>
        <v>8872.85</v>
      </c>
    </row>
    <row r="3340" spans="2:10" ht="15.95" customHeight="1" thickBot="1" x14ac:dyDescent="0.3">
      <c r="C3340" s="132"/>
      <c r="D3340" s="133"/>
      <c r="E3340" s="134"/>
      <c r="F3340" s="134"/>
      <c r="G3340" s="135" t="s">
        <v>386</v>
      </c>
      <c r="H3340" s="136"/>
      <c r="I3340" s="137">
        <f>SUM(I3338:I3339)</f>
        <v>21867.41</v>
      </c>
    </row>
    <row r="3341" spans="2:10" ht="15.95" customHeight="1" thickBot="1" x14ac:dyDescent="0.3">
      <c r="C3341" s="116" t="s">
        <v>387</v>
      </c>
      <c r="D3341" s="117" t="s">
        <v>388</v>
      </c>
      <c r="E3341" s="118"/>
      <c r="F3341" s="118"/>
      <c r="G3341" s="165"/>
      <c r="H3341" s="144">
        <f>IF(AND(D3341&lt;&gt;"",F3341&lt;&gt;""),IF(C3341="",IF(F3341="OH",VLOOKUP(D3341,[1]UPAH!$B$3:$G$32,7,0),VLOOKUP(D3341,[1]BAHAN!$A$2:$D$3,4,0)),0),0)</f>
        <v>0</v>
      </c>
      <c r="I3341" s="126">
        <f>G3341*H3341</f>
        <v>0</v>
      </c>
    </row>
    <row r="3342" spans="2:10" ht="15.95" customHeight="1" thickBot="1" x14ac:dyDescent="0.3">
      <c r="C3342" s="132"/>
      <c r="D3342" s="133"/>
      <c r="E3342" s="134"/>
      <c r="F3342" s="134"/>
      <c r="G3342" s="135" t="s">
        <v>389</v>
      </c>
      <c r="H3342" s="136"/>
      <c r="I3342" s="137">
        <f>I3341</f>
        <v>0</v>
      </c>
    </row>
    <row r="3343" spans="2:10" ht="15.95" customHeight="1" x14ac:dyDescent="0.25">
      <c r="C3343" s="158" t="s">
        <v>390</v>
      </c>
      <c r="D3343" s="159" t="s">
        <v>391</v>
      </c>
      <c r="E3343" s="160"/>
      <c r="F3343" s="160"/>
      <c r="G3343" s="161"/>
      <c r="H3343" s="162">
        <f>IF(AND(D3343&lt;&gt;"",F3343&lt;&gt;""),IF(C3343="",IF(F3343="OH",VLOOKUP(D3343,[1]UPAH!$B$3:$G$32,7,0),VLOOKUP(D3343,[1]BAHAN!$A$2:$D$3,4,0)),0),0)</f>
        <v>0</v>
      </c>
      <c r="I3343" s="126">
        <f>SUM(I3332:I3342)/2</f>
        <v>108907.41</v>
      </c>
    </row>
    <row r="3344" spans="2:10" ht="15.95" customHeight="1" thickBot="1" x14ac:dyDescent="0.3">
      <c r="C3344" s="147" t="s">
        <v>392</v>
      </c>
      <c r="D3344" s="148" t="s">
        <v>393</v>
      </c>
      <c r="E3344" s="149"/>
      <c r="F3344" s="149"/>
      <c r="G3344" s="164">
        <v>0.1</v>
      </c>
      <c r="H3344" s="151"/>
      <c r="I3344" s="146">
        <f>G3344*I3343</f>
        <v>10890.741000000002</v>
      </c>
    </row>
    <row r="3345" spans="2:10" ht="15.95" customHeight="1" thickBot="1" x14ac:dyDescent="0.3">
      <c r="C3345" s="111" t="s">
        <v>394</v>
      </c>
      <c r="D3345" s="112" t="s">
        <v>395</v>
      </c>
      <c r="E3345" s="134"/>
      <c r="F3345" s="134"/>
      <c r="G3345" s="156"/>
      <c r="H3345" s="136">
        <f>IF(AND(D3345&lt;&gt;"",F3345&lt;&gt;""),IF(C3345="",IF(F3345="OH",VLOOKUP(D3345,[1]UPAH!$B$3:$G$32,7,0),VLOOKUP(D3345,[1]BAHAN!$A$2:$D$3,4,0)),0),0)</f>
        <v>0</v>
      </c>
      <c r="I3345" s="137">
        <f>ROUNDDOWN(I3343+I3344,0)</f>
        <v>119798</v>
      </c>
    </row>
    <row r="3346" spans="2:10" ht="15.95" customHeight="1" x14ac:dyDescent="0.25">
      <c r="C3346" s="109"/>
      <c r="D3346" s="109"/>
      <c r="G3346" s="157"/>
    </row>
    <row r="3347" spans="2:10" ht="15.95" customHeight="1" thickBot="1" x14ac:dyDescent="0.3">
      <c r="B3347" s="109" t="s">
        <v>916</v>
      </c>
      <c r="C3347" s="104" t="s">
        <v>917</v>
      </c>
      <c r="G3347" s="157"/>
      <c r="J3347" s="110">
        <f>I3363</f>
        <v>117959</v>
      </c>
    </row>
    <row r="3348" spans="2:10" ht="15.95" customHeight="1" thickBot="1" x14ac:dyDescent="0.3">
      <c r="C3348" s="111" t="s">
        <v>328</v>
      </c>
      <c r="D3348" s="112" t="s">
        <v>359</v>
      </c>
      <c r="E3348" s="113" t="s">
        <v>360</v>
      </c>
      <c r="F3348" s="113" t="s">
        <v>330</v>
      </c>
      <c r="G3348" s="114" t="s">
        <v>361</v>
      </c>
      <c r="H3348" s="112" t="s">
        <v>362</v>
      </c>
      <c r="I3348" s="115" t="s">
        <v>363</v>
      </c>
    </row>
    <row r="3349" spans="2:10" ht="15.95" customHeight="1" x14ac:dyDescent="0.25">
      <c r="C3349" s="158" t="s">
        <v>364</v>
      </c>
      <c r="D3349" s="159" t="s">
        <v>365</v>
      </c>
      <c r="E3349" s="160"/>
      <c r="F3349" s="160"/>
      <c r="G3349" s="161"/>
      <c r="H3349" s="162"/>
      <c r="I3349" s="163"/>
    </row>
    <row r="3350" spans="2:10" ht="15.95" customHeight="1" x14ac:dyDescent="0.25">
      <c r="C3350" s="122"/>
      <c r="D3350" s="117" t="s">
        <v>366</v>
      </c>
      <c r="E3350" s="123" t="s">
        <v>367</v>
      </c>
      <c r="F3350" s="123" t="s">
        <v>368</v>
      </c>
      <c r="G3350" s="124">
        <v>0.4</v>
      </c>
      <c r="H3350" s="125">
        <f>VLOOKUP(D3350,Upah,8,FALSE)</f>
        <v>125000</v>
      </c>
      <c r="I3350" s="126">
        <f>G3350*H3350</f>
        <v>50000</v>
      </c>
    </row>
    <row r="3351" spans="2:10" ht="15.95" customHeight="1" x14ac:dyDescent="0.25">
      <c r="C3351" s="122"/>
      <c r="D3351" s="117" t="s">
        <v>505</v>
      </c>
      <c r="E3351" s="123" t="s">
        <v>414</v>
      </c>
      <c r="F3351" s="123" t="s">
        <v>368</v>
      </c>
      <c r="G3351" s="124">
        <v>0.2</v>
      </c>
      <c r="H3351" s="125">
        <f>VLOOKUP(D3351,Upah,8,FALSE)</f>
        <v>150000</v>
      </c>
      <c r="I3351" s="126">
        <f>G3351*H3351</f>
        <v>30000</v>
      </c>
    </row>
    <row r="3352" spans="2:10" ht="15.95" customHeight="1" x14ac:dyDescent="0.25">
      <c r="C3352" s="122"/>
      <c r="D3352" s="117" t="s">
        <v>371</v>
      </c>
      <c r="E3352" s="123" t="s">
        <v>372</v>
      </c>
      <c r="F3352" s="123" t="s">
        <v>368</v>
      </c>
      <c r="G3352" s="124">
        <v>0.02</v>
      </c>
      <c r="H3352" s="125">
        <f>VLOOKUP(D3352,Upah,8,FALSE)</f>
        <v>165000</v>
      </c>
      <c r="I3352" s="126">
        <f>G3352*H3352</f>
        <v>3300</v>
      </c>
    </row>
    <row r="3353" spans="2:10" ht="15.95" customHeight="1" thickBot="1" x14ac:dyDescent="0.3">
      <c r="C3353" s="122"/>
      <c r="D3353" s="117" t="s">
        <v>373</v>
      </c>
      <c r="E3353" s="123" t="s">
        <v>374</v>
      </c>
      <c r="F3353" s="123" t="s">
        <v>368</v>
      </c>
      <c r="G3353" s="124">
        <v>2.1999999999999999E-2</v>
      </c>
      <c r="H3353" s="125">
        <f>VLOOKUP(D3353,Upah,8,FALSE)</f>
        <v>170000</v>
      </c>
      <c r="I3353" s="126">
        <f>G3353*H3353</f>
        <v>3740</v>
      </c>
    </row>
    <row r="3354" spans="2:10" ht="15.95" customHeight="1" thickBot="1" x14ac:dyDescent="0.3">
      <c r="C3354" s="132"/>
      <c r="D3354" s="133"/>
      <c r="E3354" s="134"/>
      <c r="F3354" s="134"/>
      <c r="G3354" s="135" t="s">
        <v>375</v>
      </c>
      <c r="H3354" s="136"/>
      <c r="I3354" s="137">
        <f>SUM(I3350:I3353)</f>
        <v>87040</v>
      </c>
    </row>
    <row r="3355" spans="2:10" ht="15.95" customHeight="1" x14ac:dyDescent="0.25">
      <c r="C3355" s="116" t="s">
        <v>376</v>
      </c>
      <c r="D3355" s="117" t="s">
        <v>377</v>
      </c>
      <c r="E3355" s="118"/>
      <c r="F3355" s="118"/>
      <c r="G3355" s="165"/>
      <c r="H3355" s="144"/>
      <c r="I3355" s="126"/>
    </row>
    <row r="3356" spans="2:10" ht="15.95" customHeight="1" x14ac:dyDescent="0.25">
      <c r="C3356" s="122"/>
      <c r="D3356" s="117" t="s">
        <v>380</v>
      </c>
      <c r="E3356" s="118"/>
      <c r="F3356" s="123" t="s">
        <v>159</v>
      </c>
      <c r="G3356" s="124">
        <v>5.8879999999999999</v>
      </c>
      <c r="H3356" s="144">
        <f>VLOOKUP(D3356,Bahan,6,FALSE)</f>
        <v>1880</v>
      </c>
      <c r="I3356" s="126">
        <f>G3356*H3356</f>
        <v>11069.44</v>
      </c>
    </row>
    <row r="3357" spans="2:10" ht="15.95" customHeight="1" thickBot="1" x14ac:dyDescent="0.3">
      <c r="C3357" s="122"/>
      <c r="D3357" s="117" t="s">
        <v>493</v>
      </c>
      <c r="E3357" s="118"/>
      <c r="F3357" s="123" t="s">
        <v>158</v>
      </c>
      <c r="G3357" s="124">
        <v>3.5999999999999997E-2</v>
      </c>
      <c r="H3357" s="144">
        <f>VLOOKUP(D3357,Bahan,6,FALSE)</f>
        <v>253510</v>
      </c>
      <c r="I3357" s="126">
        <f>G3357*H3357</f>
        <v>9126.3599999999988</v>
      </c>
    </row>
    <row r="3358" spans="2:10" ht="15.95" customHeight="1" thickBot="1" x14ac:dyDescent="0.3">
      <c r="C3358" s="132"/>
      <c r="D3358" s="133"/>
      <c r="E3358" s="134"/>
      <c r="F3358" s="134"/>
      <c r="G3358" s="135" t="s">
        <v>386</v>
      </c>
      <c r="H3358" s="136"/>
      <c r="I3358" s="137">
        <f>SUM(I3356:I3357)</f>
        <v>20195.8</v>
      </c>
    </row>
    <row r="3359" spans="2:10" ht="15.95" customHeight="1" thickBot="1" x14ac:dyDescent="0.3">
      <c r="C3359" s="116" t="s">
        <v>387</v>
      </c>
      <c r="D3359" s="117" t="s">
        <v>388</v>
      </c>
      <c r="E3359" s="118"/>
      <c r="F3359" s="118"/>
      <c r="G3359" s="165"/>
      <c r="H3359" s="144">
        <f>IF(AND(D3359&lt;&gt;"",F3359&lt;&gt;""),IF(C3359="",IF(F3359="OH",VLOOKUP(D3359,[1]UPAH!$B$3:$G$32,7,0),VLOOKUP(D3359,[1]BAHAN!$A$2:$D$3,4,0)),0),0)</f>
        <v>0</v>
      </c>
      <c r="I3359" s="126">
        <f>G3359*H3359</f>
        <v>0</v>
      </c>
    </row>
    <row r="3360" spans="2:10" ht="15.95" customHeight="1" thickBot="1" x14ac:dyDescent="0.3">
      <c r="C3360" s="132"/>
      <c r="D3360" s="133"/>
      <c r="E3360" s="134"/>
      <c r="F3360" s="134"/>
      <c r="G3360" s="135" t="s">
        <v>389</v>
      </c>
      <c r="H3360" s="136"/>
      <c r="I3360" s="137">
        <f>I3359</f>
        <v>0</v>
      </c>
    </row>
    <row r="3361" spans="2:10" ht="15.95" customHeight="1" x14ac:dyDescent="0.25">
      <c r="C3361" s="158" t="s">
        <v>390</v>
      </c>
      <c r="D3361" s="159" t="s">
        <v>391</v>
      </c>
      <c r="E3361" s="160"/>
      <c r="F3361" s="160"/>
      <c r="G3361" s="161"/>
      <c r="H3361" s="162">
        <f>IF(AND(D3361&lt;&gt;"",F3361&lt;&gt;""),IF(C3361="",IF(F3361="OH",VLOOKUP(D3361,[1]UPAH!$B$3:$G$32,7,0),VLOOKUP(D3361,[1]BAHAN!$A$2:$D$3,4,0)),0),0)</f>
        <v>0</v>
      </c>
      <c r="I3361" s="126">
        <f>SUM(I3350:I3360)/2</f>
        <v>107235.79999999999</v>
      </c>
    </row>
    <row r="3362" spans="2:10" ht="15.95" customHeight="1" thickBot="1" x14ac:dyDescent="0.3">
      <c r="C3362" s="147" t="s">
        <v>392</v>
      </c>
      <c r="D3362" s="148" t="s">
        <v>393</v>
      </c>
      <c r="E3362" s="149"/>
      <c r="F3362" s="149"/>
      <c r="G3362" s="164">
        <v>0.1</v>
      </c>
      <c r="H3362" s="151"/>
      <c r="I3362" s="146">
        <f>G3362*I3361</f>
        <v>10723.58</v>
      </c>
    </row>
    <row r="3363" spans="2:10" ht="15.95" customHeight="1" thickBot="1" x14ac:dyDescent="0.3">
      <c r="C3363" s="111" t="s">
        <v>394</v>
      </c>
      <c r="D3363" s="112" t="s">
        <v>395</v>
      </c>
      <c r="E3363" s="134"/>
      <c r="F3363" s="134"/>
      <c r="G3363" s="156"/>
      <c r="H3363" s="136">
        <f>IF(AND(D3363&lt;&gt;"",F3363&lt;&gt;""),IF(C3363="",IF(F3363="OH",VLOOKUP(D3363,[1]UPAH!$B$3:$G$32,7,0),VLOOKUP(D3363,[1]BAHAN!$A$2:$D$3,4,0)),0),0)</f>
        <v>0</v>
      </c>
      <c r="I3363" s="137">
        <f>ROUNDDOWN(I3361+I3362,0)</f>
        <v>117959</v>
      </c>
    </row>
    <row r="3364" spans="2:10" ht="15.95" customHeight="1" x14ac:dyDescent="0.25">
      <c r="C3364" s="109"/>
      <c r="D3364" s="109"/>
      <c r="G3364" s="157"/>
    </row>
    <row r="3365" spans="2:10" ht="15.95" customHeight="1" thickBot="1" x14ac:dyDescent="0.3">
      <c r="B3365" s="109" t="s">
        <v>918</v>
      </c>
      <c r="C3365" s="104" t="s">
        <v>919</v>
      </c>
      <c r="G3365" s="157"/>
      <c r="J3365" s="110">
        <f>I3382</f>
        <v>115184</v>
      </c>
    </row>
    <row r="3366" spans="2:10" ht="15.95" customHeight="1" thickBot="1" x14ac:dyDescent="0.3">
      <c r="C3366" s="111" t="s">
        <v>328</v>
      </c>
      <c r="D3366" s="112" t="s">
        <v>359</v>
      </c>
      <c r="E3366" s="113" t="s">
        <v>360</v>
      </c>
      <c r="F3366" s="113" t="s">
        <v>330</v>
      </c>
      <c r="G3366" s="114" t="s">
        <v>361</v>
      </c>
      <c r="H3366" s="112" t="s">
        <v>362</v>
      </c>
      <c r="I3366" s="115" t="s">
        <v>363</v>
      </c>
    </row>
    <row r="3367" spans="2:10" ht="15.95" customHeight="1" x14ac:dyDescent="0.25">
      <c r="C3367" s="158" t="s">
        <v>364</v>
      </c>
      <c r="D3367" s="159" t="s">
        <v>365</v>
      </c>
      <c r="E3367" s="160"/>
      <c r="F3367" s="160"/>
      <c r="G3367" s="161"/>
      <c r="H3367" s="162"/>
      <c r="I3367" s="163"/>
    </row>
    <row r="3368" spans="2:10" ht="15.95" customHeight="1" x14ac:dyDescent="0.25">
      <c r="C3368" s="122"/>
      <c r="D3368" s="117" t="s">
        <v>366</v>
      </c>
      <c r="E3368" s="123" t="s">
        <v>367</v>
      </c>
      <c r="F3368" s="123" t="s">
        <v>368</v>
      </c>
      <c r="G3368" s="124">
        <v>0.44</v>
      </c>
      <c r="H3368" s="125">
        <f>VLOOKUP(D3368,Upah,8,FALSE)</f>
        <v>125000</v>
      </c>
      <c r="I3368" s="126">
        <f>G3368*H3368</f>
        <v>55000</v>
      </c>
    </row>
    <row r="3369" spans="2:10" ht="15.95" customHeight="1" x14ac:dyDescent="0.25">
      <c r="C3369" s="122"/>
      <c r="D3369" s="117" t="s">
        <v>505</v>
      </c>
      <c r="E3369" s="123" t="s">
        <v>414</v>
      </c>
      <c r="F3369" s="123" t="s">
        <v>368</v>
      </c>
      <c r="G3369" s="124">
        <v>0.22</v>
      </c>
      <c r="H3369" s="125">
        <f>VLOOKUP(D3369,Upah,8,FALSE)</f>
        <v>150000</v>
      </c>
      <c r="I3369" s="126">
        <f>G3369*H3369</f>
        <v>33000</v>
      </c>
    </row>
    <row r="3370" spans="2:10" ht="15.95" customHeight="1" x14ac:dyDescent="0.25">
      <c r="C3370" s="122"/>
      <c r="D3370" s="117" t="s">
        <v>371</v>
      </c>
      <c r="E3370" s="123" t="s">
        <v>372</v>
      </c>
      <c r="F3370" s="123" t="s">
        <v>368</v>
      </c>
      <c r="G3370" s="124">
        <v>2.1999999999999999E-2</v>
      </c>
      <c r="H3370" s="125">
        <f>VLOOKUP(D3370,Upah,8,FALSE)</f>
        <v>165000</v>
      </c>
      <c r="I3370" s="126">
        <f>G3370*H3370</f>
        <v>3630</v>
      </c>
    </row>
    <row r="3371" spans="2:10" ht="15.95" customHeight="1" thickBot="1" x14ac:dyDescent="0.3">
      <c r="C3371" s="122"/>
      <c r="D3371" s="117" t="s">
        <v>373</v>
      </c>
      <c r="E3371" s="123" t="s">
        <v>374</v>
      </c>
      <c r="F3371" s="123" t="s">
        <v>368</v>
      </c>
      <c r="G3371" s="124">
        <v>2.1999999999999999E-2</v>
      </c>
      <c r="H3371" s="125">
        <f>VLOOKUP(D3371,Upah,8,FALSE)</f>
        <v>170000</v>
      </c>
      <c r="I3371" s="126">
        <f>G3371*H3371</f>
        <v>3740</v>
      </c>
    </row>
    <row r="3372" spans="2:10" ht="15.95" customHeight="1" thickBot="1" x14ac:dyDescent="0.3">
      <c r="C3372" s="132"/>
      <c r="D3372" s="133"/>
      <c r="E3372" s="134"/>
      <c r="F3372" s="134"/>
      <c r="G3372" s="135" t="s">
        <v>375</v>
      </c>
      <c r="H3372" s="136"/>
      <c r="I3372" s="137">
        <f>SUM(I3368:I3371)</f>
        <v>95370</v>
      </c>
    </row>
    <row r="3373" spans="2:10" ht="15.95" customHeight="1" x14ac:dyDescent="0.25">
      <c r="C3373" s="116" t="s">
        <v>376</v>
      </c>
      <c r="D3373" s="117" t="s">
        <v>377</v>
      </c>
      <c r="E3373" s="118"/>
      <c r="F3373" s="118"/>
      <c r="G3373" s="165"/>
      <c r="H3373" s="144"/>
      <c r="I3373" s="126"/>
    </row>
    <row r="3374" spans="2:10" ht="15.95" customHeight="1" x14ac:dyDescent="0.25">
      <c r="C3374" s="122"/>
      <c r="D3374" s="117" t="s">
        <v>380</v>
      </c>
      <c r="E3374" s="118"/>
      <c r="F3374" s="123" t="s">
        <v>158</v>
      </c>
      <c r="G3374" s="124">
        <v>8.9999999999999993E-3</v>
      </c>
      <c r="H3374" s="144">
        <f>VLOOKUP(D3374,Bahan,6,FALSE)</f>
        <v>1880</v>
      </c>
      <c r="I3374" s="126">
        <f>G3374*H3374</f>
        <v>16.919999999999998</v>
      </c>
    </row>
    <row r="3375" spans="2:10" ht="15.95" customHeight="1" x14ac:dyDescent="0.25">
      <c r="C3375" s="122"/>
      <c r="D3375" s="117" t="s">
        <v>901</v>
      </c>
      <c r="E3375" s="118"/>
      <c r="F3375" s="123" t="s">
        <v>158</v>
      </c>
      <c r="G3375" s="124">
        <v>8.9999999999999993E-3</v>
      </c>
      <c r="H3375" s="144">
        <f>VLOOKUP(D3375,Bahan,6,FALSE)</f>
        <v>529200</v>
      </c>
      <c r="I3375" s="126">
        <f>G3375*H3375</f>
        <v>4762.7999999999993</v>
      </c>
    </row>
    <row r="3376" spans="2:10" ht="15.95" customHeight="1" thickBot="1" x14ac:dyDescent="0.3">
      <c r="C3376" s="122"/>
      <c r="D3376" s="117" t="s">
        <v>493</v>
      </c>
      <c r="E3376" s="118"/>
      <c r="F3376" s="123" t="s">
        <v>158</v>
      </c>
      <c r="G3376" s="124">
        <v>1.7999999999999999E-2</v>
      </c>
      <c r="H3376" s="144">
        <f>VLOOKUP(D3376,Bahan,6,FALSE)</f>
        <v>253510</v>
      </c>
      <c r="I3376" s="126">
        <f>G3376*H3376</f>
        <v>4563.1799999999994</v>
      </c>
    </row>
    <row r="3377" spans="2:10" ht="15.95" customHeight="1" thickBot="1" x14ac:dyDescent="0.3">
      <c r="C3377" s="132"/>
      <c r="D3377" s="133"/>
      <c r="E3377" s="134"/>
      <c r="F3377" s="134"/>
      <c r="G3377" s="135" t="s">
        <v>386</v>
      </c>
      <c r="H3377" s="136"/>
      <c r="I3377" s="137">
        <f>SUM(I3374:I3376)</f>
        <v>9342.8999999999978</v>
      </c>
    </row>
    <row r="3378" spans="2:10" ht="15.95" customHeight="1" thickBot="1" x14ac:dyDescent="0.3">
      <c r="C3378" s="116" t="s">
        <v>387</v>
      </c>
      <c r="D3378" s="117" t="s">
        <v>388</v>
      </c>
      <c r="E3378" s="118"/>
      <c r="F3378" s="118"/>
      <c r="G3378" s="165"/>
      <c r="H3378" s="144">
        <f>IF(AND(D3378&lt;&gt;"",F3378&lt;&gt;""),IF(C3378="",IF(F3378="OH",VLOOKUP(D3378,[1]UPAH!$B$3:$G$32,7,0),VLOOKUP(D3378,[1]BAHAN!$A$2:$D$3,4,0)),0),0)</f>
        <v>0</v>
      </c>
      <c r="I3378" s="126">
        <f>G3378*H3378</f>
        <v>0</v>
      </c>
    </row>
    <row r="3379" spans="2:10" ht="15.95" customHeight="1" thickBot="1" x14ac:dyDescent="0.3">
      <c r="C3379" s="132"/>
      <c r="D3379" s="133"/>
      <c r="E3379" s="134"/>
      <c r="F3379" s="134"/>
      <c r="G3379" s="135" t="s">
        <v>389</v>
      </c>
      <c r="H3379" s="136"/>
      <c r="I3379" s="137">
        <f>I3378</f>
        <v>0</v>
      </c>
    </row>
    <row r="3380" spans="2:10" ht="15.95" customHeight="1" x14ac:dyDescent="0.25">
      <c r="C3380" s="158" t="s">
        <v>390</v>
      </c>
      <c r="D3380" s="159" t="s">
        <v>391</v>
      </c>
      <c r="E3380" s="160"/>
      <c r="F3380" s="160"/>
      <c r="G3380" s="161"/>
      <c r="H3380" s="162">
        <f>IF(AND(D3380&lt;&gt;"",F3380&lt;&gt;""),IF(C3380="",IF(F3380="OH",VLOOKUP(D3380,[1]UPAH!$B$3:$G$32,7,0),VLOOKUP(D3380,[1]BAHAN!$A$2:$D$3,4,0)),0),0)</f>
        <v>0</v>
      </c>
      <c r="I3380" s="126">
        <f>SUM(I3368:I3379)/2</f>
        <v>104712.9</v>
      </c>
    </row>
    <row r="3381" spans="2:10" ht="15.95" customHeight="1" thickBot="1" x14ac:dyDescent="0.3">
      <c r="C3381" s="147" t="s">
        <v>392</v>
      </c>
      <c r="D3381" s="148" t="s">
        <v>393</v>
      </c>
      <c r="E3381" s="149"/>
      <c r="F3381" s="149"/>
      <c r="G3381" s="164">
        <v>0.1</v>
      </c>
      <c r="H3381" s="151"/>
      <c r="I3381" s="146">
        <f>G3381*I3380</f>
        <v>10471.290000000001</v>
      </c>
    </row>
    <row r="3382" spans="2:10" ht="15.95" customHeight="1" thickBot="1" x14ac:dyDescent="0.3">
      <c r="C3382" s="111" t="s">
        <v>394</v>
      </c>
      <c r="D3382" s="112" t="s">
        <v>395</v>
      </c>
      <c r="E3382" s="134"/>
      <c r="F3382" s="134"/>
      <c r="G3382" s="156"/>
      <c r="H3382" s="136">
        <f>IF(AND(D3382&lt;&gt;"",F3382&lt;&gt;""),IF(C3382="",IF(F3382="OH",VLOOKUP(D3382,[1]UPAH!$B$3:$G$32,7,0),VLOOKUP(D3382,[1]BAHAN!$A$2:$D$3,4,0)),0),0)</f>
        <v>0</v>
      </c>
      <c r="I3382" s="137">
        <f>ROUNDDOWN(I3380+I3381,0)</f>
        <v>115184</v>
      </c>
    </row>
    <row r="3383" spans="2:10" ht="15.95" customHeight="1" x14ac:dyDescent="0.25">
      <c r="C3383" s="109"/>
      <c r="D3383" s="109"/>
      <c r="G3383" s="157"/>
    </row>
    <row r="3384" spans="2:10" ht="15.95" customHeight="1" thickBot="1" x14ac:dyDescent="0.3">
      <c r="B3384" s="109" t="s">
        <v>920</v>
      </c>
      <c r="C3384" s="104" t="s">
        <v>921</v>
      </c>
      <c r="G3384" s="157"/>
      <c r="J3384" s="110">
        <f>I3400</f>
        <v>53918</v>
      </c>
    </row>
    <row r="3385" spans="2:10" ht="15.95" customHeight="1" thickBot="1" x14ac:dyDescent="0.3">
      <c r="C3385" s="111" t="s">
        <v>328</v>
      </c>
      <c r="D3385" s="112" t="s">
        <v>359</v>
      </c>
      <c r="E3385" s="113" t="s">
        <v>360</v>
      </c>
      <c r="F3385" s="113" t="s">
        <v>330</v>
      </c>
      <c r="G3385" s="114" t="s">
        <v>361</v>
      </c>
      <c r="H3385" s="112" t="s">
        <v>362</v>
      </c>
      <c r="I3385" s="115" t="s">
        <v>363</v>
      </c>
    </row>
    <row r="3386" spans="2:10" ht="15.95" customHeight="1" x14ac:dyDescent="0.25">
      <c r="C3386" s="158" t="s">
        <v>364</v>
      </c>
      <c r="D3386" s="159" t="s">
        <v>365</v>
      </c>
      <c r="E3386" s="160"/>
      <c r="F3386" s="160"/>
      <c r="G3386" s="161"/>
      <c r="H3386" s="162"/>
      <c r="I3386" s="163"/>
    </row>
    <row r="3387" spans="2:10" ht="15.95" customHeight="1" x14ac:dyDescent="0.25">
      <c r="C3387" s="122"/>
      <c r="D3387" s="117" t="s">
        <v>366</v>
      </c>
      <c r="E3387" s="123" t="s">
        <v>367</v>
      </c>
      <c r="F3387" s="123" t="s">
        <v>368</v>
      </c>
      <c r="G3387" s="124">
        <v>0.15</v>
      </c>
      <c r="H3387" s="125">
        <f>VLOOKUP(D3387,Upah,8,FALSE)</f>
        <v>125000</v>
      </c>
      <c r="I3387" s="126">
        <f>G3387*H3387</f>
        <v>18750</v>
      </c>
    </row>
    <row r="3388" spans="2:10" ht="15.95" customHeight="1" x14ac:dyDescent="0.25">
      <c r="C3388" s="122"/>
      <c r="D3388" s="117" t="s">
        <v>505</v>
      </c>
      <c r="E3388" s="123" t="s">
        <v>414</v>
      </c>
      <c r="F3388" s="123" t="s">
        <v>368</v>
      </c>
      <c r="G3388" s="124">
        <v>7.4999999999999997E-2</v>
      </c>
      <c r="H3388" s="125">
        <f>VLOOKUP(D3388,Upah,8,FALSE)</f>
        <v>150000</v>
      </c>
      <c r="I3388" s="126">
        <f>G3388*H3388</f>
        <v>11250</v>
      </c>
    </row>
    <row r="3389" spans="2:10" ht="15.95" customHeight="1" x14ac:dyDescent="0.25">
      <c r="C3389" s="122"/>
      <c r="D3389" s="117" t="s">
        <v>371</v>
      </c>
      <c r="E3389" s="123" t="s">
        <v>372</v>
      </c>
      <c r="F3389" s="123" t="s">
        <v>368</v>
      </c>
      <c r="G3389" s="124">
        <v>8.0000000000000002E-3</v>
      </c>
      <c r="H3389" s="125">
        <f>VLOOKUP(D3389,Upah,8,FALSE)</f>
        <v>165000</v>
      </c>
      <c r="I3389" s="126">
        <f>G3389*H3389</f>
        <v>1320</v>
      </c>
    </row>
    <row r="3390" spans="2:10" ht="15.95" customHeight="1" thickBot="1" x14ac:dyDescent="0.3">
      <c r="C3390" s="122"/>
      <c r="D3390" s="117" t="s">
        <v>373</v>
      </c>
      <c r="E3390" s="123" t="s">
        <v>374</v>
      </c>
      <c r="F3390" s="123" t="s">
        <v>368</v>
      </c>
      <c r="G3390" s="124">
        <v>8.0000000000000002E-3</v>
      </c>
      <c r="H3390" s="125">
        <f>VLOOKUP(D3390,Upah,8,FALSE)</f>
        <v>170000</v>
      </c>
      <c r="I3390" s="126">
        <f>G3390*H3390</f>
        <v>1360</v>
      </c>
    </row>
    <row r="3391" spans="2:10" ht="15.95" customHeight="1" thickBot="1" x14ac:dyDescent="0.3">
      <c r="C3391" s="132"/>
      <c r="D3391" s="133"/>
      <c r="E3391" s="134"/>
      <c r="F3391" s="134"/>
      <c r="G3391" s="135" t="s">
        <v>375</v>
      </c>
      <c r="H3391" s="136"/>
      <c r="I3391" s="137">
        <f>SUM(I3387:I3390)</f>
        <v>32680</v>
      </c>
    </row>
    <row r="3392" spans="2:10" ht="15.95" customHeight="1" x14ac:dyDescent="0.25">
      <c r="C3392" s="116" t="s">
        <v>376</v>
      </c>
      <c r="D3392" s="117" t="s">
        <v>377</v>
      </c>
      <c r="E3392" s="118"/>
      <c r="F3392" s="118"/>
      <c r="G3392" s="165"/>
      <c r="H3392" s="144"/>
      <c r="I3392" s="126"/>
    </row>
    <row r="3393" spans="2:10" ht="15.95" customHeight="1" x14ac:dyDescent="0.25">
      <c r="C3393" s="122"/>
      <c r="D3393" s="117" t="s">
        <v>380</v>
      </c>
      <c r="E3393" s="118"/>
      <c r="F3393" s="123" t="s">
        <v>159</v>
      </c>
      <c r="G3393" s="124">
        <v>5.1840000000000002</v>
      </c>
      <c r="H3393" s="144">
        <f>VLOOKUP(D3393,Bahan,6,FALSE)</f>
        <v>1880</v>
      </c>
      <c r="I3393" s="126">
        <f>G3393*H3393</f>
        <v>9745.92</v>
      </c>
    </row>
    <row r="3394" spans="2:10" ht="15.95" customHeight="1" thickBot="1" x14ac:dyDescent="0.3">
      <c r="C3394" s="122"/>
      <c r="D3394" s="117" t="s">
        <v>493</v>
      </c>
      <c r="E3394" s="118"/>
      <c r="F3394" s="123" t="s">
        <v>158</v>
      </c>
      <c r="G3394" s="124">
        <v>2.5999999999999999E-2</v>
      </c>
      <c r="H3394" s="144">
        <f>VLOOKUP(D3394,Bahan,6,FALSE)</f>
        <v>253510</v>
      </c>
      <c r="I3394" s="126">
        <f>G3394*H3394</f>
        <v>6591.2599999999993</v>
      </c>
    </row>
    <row r="3395" spans="2:10" ht="15.95" customHeight="1" thickBot="1" x14ac:dyDescent="0.3">
      <c r="C3395" s="132"/>
      <c r="D3395" s="133"/>
      <c r="E3395" s="134"/>
      <c r="F3395" s="134"/>
      <c r="G3395" s="135" t="s">
        <v>386</v>
      </c>
      <c r="H3395" s="136"/>
      <c r="I3395" s="137">
        <f>SUM(I3393:I3394)</f>
        <v>16337.18</v>
      </c>
    </row>
    <row r="3396" spans="2:10" ht="15.95" customHeight="1" thickBot="1" x14ac:dyDescent="0.3">
      <c r="C3396" s="116" t="s">
        <v>387</v>
      </c>
      <c r="D3396" s="117" t="s">
        <v>388</v>
      </c>
      <c r="E3396" s="118"/>
      <c r="F3396" s="118"/>
      <c r="G3396" s="165"/>
      <c r="H3396" s="144">
        <f>IF(AND(D3396&lt;&gt;"",F3396&lt;&gt;""),IF(C3396="",IF(F3396="OH",VLOOKUP(D3396,[1]UPAH!$B$3:$G$32,7,0),VLOOKUP(D3396,[1]BAHAN!$A$2:$D$3,4,0)),0),0)</f>
        <v>0</v>
      </c>
      <c r="I3396" s="126">
        <f>G3396*H3396</f>
        <v>0</v>
      </c>
    </row>
    <row r="3397" spans="2:10" ht="15.95" customHeight="1" thickBot="1" x14ac:dyDescent="0.3">
      <c r="C3397" s="132"/>
      <c r="D3397" s="133"/>
      <c r="E3397" s="134"/>
      <c r="F3397" s="134"/>
      <c r="G3397" s="135" t="s">
        <v>389</v>
      </c>
      <c r="H3397" s="136"/>
      <c r="I3397" s="137">
        <f>I3396</f>
        <v>0</v>
      </c>
    </row>
    <row r="3398" spans="2:10" ht="15.95" customHeight="1" x14ac:dyDescent="0.25">
      <c r="C3398" s="158" t="s">
        <v>390</v>
      </c>
      <c r="D3398" s="159" t="s">
        <v>391</v>
      </c>
      <c r="E3398" s="160"/>
      <c r="F3398" s="160"/>
      <c r="G3398" s="161"/>
      <c r="H3398" s="162">
        <f>IF(AND(D3398&lt;&gt;"",F3398&lt;&gt;""),IF(C3398="",IF(F3398="OH",VLOOKUP(D3398,[1]UPAH!$B$3:$G$32,7,0),VLOOKUP(D3398,[1]BAHAN!$A$2:$D$3,4,0)),0),0)</f>
        <v>0</v>
      </c>
      <c r="I3398" s="126">
        <f>SUM(I3387:I3397)/2</f>
        <v>49017.179999999993</v>
      </c>
    </row>
    <row r="3399" spans="2:10" ht="15.95" customHeight="1" thickBot="1" x14ac:dyDescent="0.3">
      <c r="C3399" s="147" t="s">
        <v>392</v>
      </c>
      <c r="D3399" s="148" t="s">
        <v>393</v>
      </c>
      <c r="E3399" s="149"/>
      <c r="F3399" s="149"/>
      <c r="G3399" s="164">
        <v>0.1</v>
      </c>
      <c r="H3399" s="151"/>
      <c r="I3399" s="146">
        <f>G3399*I3398</f>
        <v>4901.7179999999998</v>
      </c>
    </row>
    <row r="3400" spans="2:10" ht="15.95" customHeight="1" thickBot="1" x14ac:dyDescent="0.3">
      <c r="C3400" s="111" t="s">
        <v>394</v>
      </c>
      <c r="D3400" s="112" t="s">
        <v>395</v>
      </c>
      <c r="E3400" s="134"/>
      <c r="F3400" s="134"/>
      <c r="G3400" s="156"/>
      <c r="H3400" s="136">
        <f>IF(AND(D3400&lt;&gt;"",F3400&lt;&gt;""),IF(C3400="",IF(F3400="OH",VLOOKUP(D3400,[1]UPAH!$B$3:$G$32,7,0),VLOOKUP(D3400,[1]BAHAN!$A$2:$D$3,4,0)),0),0)</f>
        <v>0</v>
      </c>
      <c r="I3400" s="137">
        <f>ROUNDDOWN(I3398+I3399,0)</f>
        <v>53918</v>
      </c>
    </row>
    <row r="3401" spans="2:10" ht="15.95" customHeight="1" x14ac:dyDescent="0.25">
      <c r="C3401" s="109"/>
      <c r="D3401" s="109"/>
      <c r="G3401" s="157"/>
    </row>
    <row r="3402" spans="2:10" ht="15.95" customHeight="1" thickBot="1" x14ac:dyDescent="0.3">
      <c r="B3402" s="109" t="s">
        <v>922</v>
      </c>
      <c r="C3402" s="104" t="s">
        <v>923</v>
      </c>
      <c r="G3402" s="157"/>
      <c r="J3402" s="110">
        <f>I3418</f>
        <v>89667</v>
      </c>
    </row>
    <row r="3403" spans="2:10" ht="15.95" customHeight="1" thickBot="1" x14ac:dyDescent="0.3">
      <c r="C3403" s="111" t="s">
        <v>328</v>
      </c>
      <c r="D3403" s="112" t="s">
        <v>359</v>
      </c>
      <c r="E3403" s="113" t="s">
        <v>360</v>
      </c>
      <c r="F3403" s="113" t="s">
        <v>330</v>
      </c>
      <c r="G3403" s="114" t="s">
        <v>361</v>
      </c>
      <c r="H3403" s="112" t="s">
        <v>362</v>
      </c>
      <c r="I3403" s="115" t="s">
        <v>363</v>
      </c>
    </row>
    <row r="3404" spans="2:10" ht="15.95" customHeight="1" x14ac:dyDescent="0.25">
      <c r="C3404" s="116" t="s">
        <v>364</v>
      </c>
      <c r="D3404" s="117" t="s">
        <v>365</v>
      </c>
      <c r="E3404" s="118"/>
      <c r="F3404" s="118"/>
      <c r="G3404" s="165"/>
      <c r="H3404" s="144"/>
      <c r="I3404" s="126"/>
    </row>
    <row r="3405" spans="2:10" ht="15.95" customHeight="1" x14ac:dyDescent="0.25">
      <c r="C3405" s="122"/>
      <c r="D3405" s="117" t="s">
        <v>366</v>
      </c>
      <c r="E3405" s="123" t="s">
        <v>367</v>
      </c>
      <c r="F3405" s="123" t="s">
        <v>368</v>
      </c>
      <c r="G3405" s="124">
        <v>0.08</v>
      </c>
      <c r="H3405" s="125">
        <f>VLOOKUP(D3405,Upah,8,FALSE)</f>
        <v>125000</v>
      </c>
      <c r="I3405" s="126">
        <f>G3405*H3405</f>
        <v>10000</v>
      </c>
    </row>
    <row r="3406" spans="2:10" ht="15.95" customHeight="1" x14ac:dyDescent="0.25">
      <c r="C3406" s="122"/>
      <c r="D3406" s="117" t="s">
        <v>505</v>
      </c>
      <c r="E3406" s="123" t="s">
        <v>414</v>
      </c>
      <c r="F3406" s="123" t="s">
        <v>368</v>
      </c>
      <c r="G3406" s="124">
        <v>0.4</v>
      </c>
      <c r="H3406" s="125">
        <f>VLOOKUP(D3406,Upah,8,FALSE)</f>
        <v>150000</v>
      </c>
      <c r="I3406" s="126">
        <f>G3406*H3406</f>
        <v>60000</v>
      </c>
    </row>
    <row r="3407" spans="2:10" ht="15.95" customHeight="1" x14ac:dyDescent="0.25">
      <c r="C3407" s="122"/>
      <c r="D3407" s="117" t="s">
        <v>371</v>
      </c>
      <c r="E3407" s="123" t="s">
        <v>372</v>
      </c>
      <c r="F3407" s="123" t="s">
        <v>368</v>
      </c>
      <c r="G3407" s="124">
        <v>0.04</v>
      </c>
      <c r="H3407" s="125">
        <f>VLOOKUP(D3407,Upah,8,FALSE)</f>
        <v>165000</v>
      </c>
      <c r="I3407" s="126">
        <f>G3407*H3407</f>
        <v>6600</v>
      </c>
    </row>
    <row r="3408" spans="2:10" ht="15.95" customHeight="1" thickBot="1" x14ac:dyDescent="0.3">
      <c r="C3408" s="122"/>
      <c r="D3408" s="117" t="s">
        <v>373</v>
      </c>
      <c r="E3408" s="123" t="s">
        <v>374</v>
      </c>
      <c r="F3408" s="123" t="s">
        <v>368</v>
      </c>
      <c r="G3408" s="124">
        <v>4.0000000000000001E-3</v>
      </c>
      <c r="H3408" s="125">
        <f>VLOOKUP(D3408,Upah,8,FALSE)</f>
        <v>170000</v>
      </c>
      <c r="I3408" s="126">
        <f>G3408*H3408</f>
        <v>680</v>
      </c>
    </row>
    <row r="3409" spans="2:10" ht="15.95" customHeight="1" thickBot="1" x14ac:dyDescent="0.3">
      <c r="C3409" s="132"/>
      <c r="D3409" s="133"/>
      <c r="E3409" s="134"/>
      <c r="F3409" s="134"/>
      <c r="G3409" s="135" t="s">
        <v>375</v>
      </c>
      <c r="H3409" s="136"/>
      <c r="I3409" s="137">
        <f>SUM(I3405:I3408)</f>
        <v>77280</v>
      </c>
    </row>
    <row r="3410" spans="2:10" ht="15.95" customHeight="1" x14ac:dyDescent="0.25">
      <c r="C3410" s="116" t="s">
        <v>376</v>
      </c>
      <c r="D3410" s="117" t="s">
        <v>377</v>
      </c>
      <c r="E3410" s="118"/>
      <c r="F3410" s="118"/>
      <c r="G3410" s="165"/>
      <c r="H3410" s="144"/>
      <c r="I3410" s="126"/>
    </row>
    <row r="3411" spans="2:10" ht="15.95" customHeight="1" x14ac:dyDescent="0.25">
      <c r="C3411" s="122"/>
      <c r="D3411" s="117" t="s">
        <v>380</v>
      </c>
      <c r="E3411" s="118"/>
      <c r="F3411" s="123" t="s">
        <v>159</v>
      </c>
      <c r="G3411" s="124">
        <v>0.5</v>
      </c>
      <c r="H3411" s="144">
        <f>VLOOKUP(D3411,Bahan,6,FALSE)</f>
        <v>1880</v>
      </c>
      <c r="I3411" s="126">
        <f>G3411*H3411</f>
        <v>940</v>
      </c>
    </row>
    <row r="3412" spans="2:10" ht="15.95" customHeight="1" thickBot="1" x14ac:dyDescent="0.3">
      <c r="C3412" s="122"/>
      <c r="D3412" s="117" t="s">
        <v>493</v>
      </c>
      <c r="E3412" s="118"/>
      <c r="F3412" s="123" t="s">
        <v>158</v>
      </c>
      <c r="G3412" s="124">
        <v>1.2999999999999999E-2</v>
      </c>
      <c r="H3412" s="144">
        <f>VLOOKUP(D3412,Bahan,6,FALSE)</f>
        <v>253510</v>
      </c>
      <c r="I3412" s="126">
        <f>G3412*H3412</f>
        <v>3295.6299999999997</v>
      </c>
    </row>
    <row r="3413" spans="2:10" ht="15.95" customHeight="1" thickBot="1" x14ac:dyDescent="0.3">
      <c r="C3413" s="132"/>
      <c r="D3413" s="133"/>
      <c r="E3413" s="134"/>
      <c r="F3413" s="134"/>
      <c r="G3413" s="135" t="s">
        <v>386</v>
      </c>
      <c r="H3413" s="136"/>
      <c r="I3413" s="137">
        <f>SUM(I3411:I3412)</f>
        <v>4235.6299999999992</v>
      </c>
    </row>
    <row r="3414" spans="2:10" ht="15.95" customHeight="1" thickBot="1" x14ac:dyDescent="0.3">
      <c r="C3414" s="116" t="s">
        <v>387</v>
      </c>
      <c r="D3414" s="117" t="s">
        <v>388</v>
      </c>
      <c r="E3414" s="118"/>
      <c r="F3414" s="118"/>
      <c r="G3414" s="165"/>
      <c r="H3414" s="144">
        <f>IF(AND(D3414&lt;&gt;"",F3414&lt;&gt;""),IF(C3414="",IF(F3414="OH",VLOOKUP(D3414,[1]UPAH!$B$3:$G$32,7,0),VLOOKUP(D3414,[1]BAHAN!$A$2:$D$3,4,0)),0),0)</f>
        <v>0</v>
      </c>
      <c r="I3414" s="126">
        <f>G3414*H3414</f>
        <v>0</v>
      </c>
    </row>
    <row r="3415" spans="2:10" ht="15.95" customHeight="1" thickBot="1" x14ac:dyDescent="0.3">
      <c r="C3415" s="132"/>
      <c r="D3415" s="133"/>
      <c r="E3415" s="134"/>
      <c r="F3415" s="134"/>
      <c r="G3415" s="135" t="s">
        <v>389</v>
      </c>
      <c r="H3415" s="136"/>
      <c r="I3415" s="137">
        <f>I3414</f>
        <v>0</v>
      </c>
    </row>
    <row r="3416" spans="2:10" ht="15.95" customHeight="1" x14ac:dyDescent="0.25">
      <c r="C3416" s="158" t="s">
        <v>390</v>
      </c>
      <c r="D3416" s="159" t="s">
        <v>391</v>
      </c>
      <c r="E3416" s="160"/>
      <c r="F3416" s="160"/>
      <c r="G3416" s="161"/>
      <c r="H3416" s="162">
        <f>IF(AND(D3416&lt;&gt;"",F3416&lt;&gt;""),IF(C3416="",IF(F3416="OH",VLOOKUP(D3416,[1]UPAH!$B$3:$G$32,7,0),VLOOKUP(D3416,[1]BAHAN!$A$2:$D$3,4,0)),0),0)</f>
        <v>0</v>
      </c>
      <c r="I3416" s="126">
        <f>SUM(I3405:I3415)/2</f>
        <v>81515.63</v>
      </c>
    </row>
    <row r="3417" spans="2:10" ht="15.95" customHeight="1" thickBot="1" x14ac:dyDescent="0.3">
      <c r="C3417" s="147" t="s">
        <v>392</v>
      </c>
      <c r="D3417" s="148" t="s">
        <v>393</v>
      </c>
      <c r="E3417" s="149"/>
      <c r="F3417" s="149"/>
      <c r="G3417" s="164">
        <v>0.1</v>
      </c>
      <c r="H3417" s="151"/>
      <c r="I3417" s="146">
        <f>G3417*I3416</f>
        <v>8151.563000000001</v>
      </c>
    </row>
    <row r="3418" spans="2:10" ht="15.95" customHeight="1" thickBot="1" x14ac:dyDescent="0.3">
      <c r="C3418" s="111" t="s">
        <v>394</v>
      </c>
      <c r="D3418" s="112" t="s">
        <v>395</v>
      </c>
      <c r="E3418" s="134"/>
      <c r="F3418" s="134"/>
      <c r="G3418" s="156"/>
      <c r="H3418" s="136">
        <f>IF(AND(D3418&lt;&gt;"",F3418&lt;&gt;""),IF(C3418="",IF(F3418="OH",VLOOKUP(D3418,[1]UPAH!$B$3:$G$32,7,0),VLOOKUP(D3418,[1]BAHAN!$A$2:$D$3,4,0)),0),0)</f>
        <v>0</v>
      </c>
      <c r="I3418" s="137">
        <f>ROUNDDOWN(I3416+I3417,0)</f>
        <v>89667</v>
      </c>
    </row>
    <row r="3419" spans="2:10" ht="15.95" customHeight="1" x14ac:dyDescent="0.25">
      <c r="C3419" s="109"/>
      <c r="D3419" s="109"/>
      <c r="G3419" s="157"/>
    </row>
    <row r="3420" spans="2:10" ht="15.95" customHeight="1" thickBot="1" x14ac:dyDescent="0.3">
      <c r="B3420" s="109" t="s">
        <v>924</v>
      </c>
      <c r="C3420" s="104" t="s">
        <v>925</v>
      </c>
      <c r="G3420" s="157"/>
      <c r="J3420" s="110">
        <f>I3436</f>
        <v>437530</v>
      </c>
    </row>
    <row r="3421" spans="2:10" ht="15.95" customHeight="1" thickBot="1" x14ac:dyDescent="0.3">
      <c r="C3421" s="111" t="s">
        <v>328</v>
      </c>
      <c r="D3421" s="112" t="s">
        <v>359</v>
      </c>
      <c r="E3421" s="113" t="s">
        <v>360</v>
      </c>
      <c r="F3421" s="113" t="s">
        <v>330</v>
      </c>
      <c r="G3421" s="114" t="s">
        <v>361</v>
      </c>
      <c r="H3421" s="112" t="s">
        <v>362</v>
      </c>
      <c r="I3421" s="115" t="s">
        <v>363</v>
      </c>
    </row>
    <row r="3422" spans="2:10" ht="15.95" customHeight="1" x14ac:dyDescent="0.25">
      <c r="C3422" s="116" t="s">
        <v>364</v>
      </c>
      <c r="D3422" s="117" t="s">
        <v>365</v>
      </c>
      <c r="E3422" s="118"/>
      <c r="F3422" s="118"/>
      <c r="G3422" s="165"/>
      <c r="H3422" s="144"/>
      <c r="I3422" s="126"/>
    </row>
    <row r="3423" spans="2:10" ht="15.95" customHeight="1" x14ac:dyDescent="0.25">
      <c r="C3423" s="122"/>
      <c r="D3423" s="117" t="s">
        <v>366</v>
      </c>
      <c r="E3423" s="123" t="s">
        <v>367</v>
      </c>
      <c r="F3423" s="123" t="s">
        <v>368</v>
      </c>
      <c r="G3423" s="124">
        <v>0.45</v>
      </c>
      <c r="H3423" s="125">
        <f>VLOOKUP(D3423,Upah,8,FALSE)</f>
        <v>125000</v>
      </c>
      <c r="I3423" s="126">
        <f>G3423*H3423</f>
        <v>56250</v>
      </c>
    </row>
    <row r="3424" spans="2:10" ht="15.95" customHeight="1" x14ac:dyDescent="0.25">
      <c r="C3424" s="122"/>
      <c r="D3424" s="117" t="s">
        <v>505</v>
      </c>
      <c r="E3424" s="123" t="s">
        <v>414</v>
      </c>
      <c r="F3424" s="123" t="s">
        <v>368</v>
      </c>
      <c r="G3424" s="124">
        <v>0.22500000000000001</v>
      </c>
      <c r="H3424" s="125">
        <f>VLOOKUP(D3424,Upah,8,FALSE)</f>
        <v>150000</v>
      </c>
      <c r="I3424" s="126">
        <f>G3424*H3424</f>
        <v>33750</v>
      </c>
    </row>
    <row r="3425" spans="2:10" ht="15.95" customHeight="1" x14ac:dyDescent="0.25">
      <c r="C3425" s="122"/>
      <c r="D3425" s="117" t="s">
        <v>371</v>
      </c>
      <c r="E3425" s="123" t="s">
        <v>372</v>
      </c>
      <c r="F3425" s="123" t="s">
        <v>368</v>
      </c>
      <c r="G3425" s="124">
        <v>2.3E-2</v>
      </c>
      <c r="H3425" s="125">
        <f>VLOOKUP(D3425,Upah,8,FALSE)</f>
        <v>165000</v>
      </c>
      <c r="I3425" s="126">
        <f>G3425*H3425</f>
        <v>3795</v>
      </c>
    </row>
    <row r="3426" spans="2:10" ht="15.95" customHeight="1" thickBot="1" x14ac:dyDescent="0.3">
      <c r="C3426" s="122"/>
      <c r="D3426" s="117" t="s">
        <v>373</v>
      </c>
      <c r="E3426" s="123" t="s">
        <v>374</v>
      </c>
      <c r="F3426" s="123" t="s">
        <v>368</v>
      </c>
      <c r="G3426" s="124">
        <v>2.3E-2</v>
      </c>
      <c r="H3426" s="125">
        <f>VLOOKUP(D3426,Upah,8,FALSE)</f>
        <v>170000</v>
      </c>
      <c r="I3426" s="126">
        <f>G3426*H3426</f>
        <v>3910</v>
      </c>
    </row>
    <row r="3427" spans="2:10" ht="15.95" customHeight="1" thickBot="1" x14ac:dyDescent="0.3">
      <c r="C3427" s="132"/>
      <c r="D3427" s="133"/>
      <c r="E3427" s="134"/>
      <c r="F3427" s="134"/>
      <c r="G3427" s="135" t="s">
        <v>375</v>
      </c>
      <c r="H3427" s="136"/>
      <c r="I3427" s="137">
        <f>SUM(I3423:I3426)</f>
        <v>97705</v>
      </c>
    </row>
    <row r="3428" spans="2:10" ht="15.95" customHeight="1" x14ac:dyDescent="0.25">
      <c r="C3428" s="116" t="s">
        <v>376</v>
      </c>
      <c r="D3428" s="117" t="s">
        <v>377</v>
      </c>
      <c r="E3428" s="118"/>
      <c r="F3428" s="118"/>
      <c r="G3428" s="165"/>
      <c r="H3428" s="144"/>
      <c r="I3428" s="126"/>
    </row>
    <row r="3429" spans="2:10" ht="15.95" customHeight="1" x14ac:dyDescent="0.25">
      <c r="C3429" s="122"/>
      <c r="D3429" s="117" t="s">
        <v>380</v>
      </c>
      <c r="E3429" s="118"/>
      <c r="F3429" s="123" t="s">
        <v>159</v>
      </c>
      <c r="G3429" s="124">
        <v>10</v>
      </c>
      <c r="H3429" s="144">
        <f>VLOOKUP(D3429,Bahan,6,FALSE)</f>
        <v>1880</v>
      </c>
      <c r="I3429" s="126">
        <f>G3429*H3429</f>
        <v>18800</v>
      </c>
    </row>
    <row r="3430" spans="2:10" ht="15.95" customHeight="1" thickBot="1" x14ac:dyDescent="0.3">
      <c r="C3430" s="122"/>
      <c r="D3430" s="117" t="s">
        <v>926</v>
      </c>
      <c r="E3430" s="118"/>
      <c r="F3430" s="123" t="s">
        <v>159</v>
      </c>
      <c r="G3430" s="124">
        <v>15</v>
      </c>
      <c r="H3430" s="144">
        <f>VLOOKUP(D3430,Bahan,6,FALSE)</f>
        <v>18750</v>
      </c>
      <c r="I3430" s="126">
        <f>G3430*H3430</f>
        <v>281250</v>
      </c>
    </row>
    <row r="3431" spans="2:10" ht="15.95" customHeight="1" thickBot="1" x14ac:dyDescent="0.3">
      <c r="C3431" s="132"/>
      <c r="D3431" s="133"/>
      <c r="E3431" s="134"/>
      <c r="F3431" s="134"/>
      <c r="G3431" s="135" t="s">
        <v>386</v>
      </c>
      <c r="H3431" s="136"/>
      <c r="I3431" s="137">
        <f>SUM(I3429:I3430)</f>
        <v>300050</v>
      </c>
    </row>
    <row r="3432" spans="2:10" ht="15.95" customHeight="1" thickBot="1" x14ac:dyDescent="0.3">
      <c r="C3432" s="116" t="s">
        <v>387</v>
      </c>
      <c r="D3432" s="117" t="s">
        <v>388</v>
      </c>
      <c r="E3432" s="118"/>
      <c r="F3432" s="118"/>
      <c r="G3432" s="165"/>
      <c r="H3432" s="144">
        <f>IF(AND(D3432&lt;&gt;"",F3432&lt;&gt;""),IF(C3432="",IF(F3432="OH",VLOOKUP(D3432,[1]UPAH!$B$3:$G$32,7,0),VLOOKUP(D3432,[1]BAHAN!$A$2:$D$3,4,0)),0),0)</f>
        <v>0</v>
      </c>
      <c r="I3432" s="126">
        <f>G3432*H3432</f>
        <v>0</v>
      </c>
    </row>
    <row r="3433" spans="2:10" ht="15.95" customHeight="1" thickBot="1" x14ac:dyDescent="0.3">
      <c r="C3433" s="132"/>
      <c r="D3433" s="133"/>
      <c r="E3433" s="134"/>
      <c r="F3433" s="134"/>
      <c r="G3433" s="135" t="s">
        <v>389</v>
      </c>
      <c r="H3433" s="136"/>
      <c r="I3433" s="137">
        <f>I3432</f>
        <v>0</v>
      </c>
    </row>
    <row r="3434" spans="2:10" ht="15.95" customHeight="1" x14ac:dyDescent="0.25">
      <c r="C3434" s="158" t="s">
        <v>390</v>
      </c>
      <c r="D3434" s="159" t="s">
        <v>391</v>
      </c>
      <c r="E3434" s="160"/>
      <c r="F3434" s="160"/>
      <c r="G3434" s="161"/>
      <c r="H3434" s="162">
        <f>IF(AND(D3434&lt;&gt;"",F3434&lt;&gt;""),IF(C3434="",IF(F3434="OH",VLOOKUP(D3434,[1]UPAH!$B$3:$G$32,7,0),VLOOKUP(D3434,[1]BAHAN!$A$2:$D$3,4,0)),0),0)</f>
        <v>0</v>
      </c>
      <c r="I3434" s="126">
        <f>SUM(I3423:I3433)/2</f>
        <v>397755</v>
      </c>
    </row>
    <row r="3435" spans="2:10" ht="15.95" customHeight="1" thickBot="1" x14ac:dyDescent="0.3">
      <c r="C3435" s="147" t="s">
        <v>392</v>
      </c>
      <c r="D3435" s="148" t="s">
        <v>393</v>
      </c>
      <c r="E3435" s="149"/>
      <c r="F3435" s="149"/>
      <c r="G3435" s="164">
        <v>0.1</v>
      </c>
      <c r="H3435" s="151"/>
      <c r="I3435" s="146">
        <f>G3435*I3434</f>
        <v>39775.5</v>
      </c>
    </row>
    <row r="3436" spans="2:10" ht="15.95" customHeight="1" thickBot="1" x14ac:dyDescent="0.3">
      <c r="C3436" s="111" t="s">
        <v>394</v>
      </c>
      <c r="D3436" s="112" t="s">
        <v>395</v>
      </c>
      <c r="E3436" s="134"/>
      <c r="F3436" s="134"/>
      <c r="G3436" s="156"/>
      <c r="H3436" s="136">
        <f>IF(AND(D3436&lt;&gt;"",F3436&lt;&gt;""),IF(C3436="",IF(F3436="OH",VLOOKUP(D3436,[1]UPAH!$B$3:$G$32,7,0),VLOOKUP(D3436,[1]BAHAN!$A$2:$D$3,4,0)),0),0)</f>
        <v>0</v>
      </c>
      <c r="I3436" s="137">
        <f>ROUNDDOWN(I3434+I3435,0)</f>
        <v>437530</v>
      </c>
    </row>
    <row r="3437" spans="2:10" ht="15.95" customHeight="1" x14ac:dyDescent="0.25">
      <c r="C3437" s="109"/>
      <c r="D3437" s="109"/>
      <c r="G3437" s="157"/>
    </row>
    <row r="3438" spans="2:10" ht="15.95" customHeight="1" thickBot="1" x14ac:dyDescent="0.3">
      <c r="B3438" s="109" t="s">
        <v>927</v>
      </c>
      <c r="C3438" s="104" t="s">
        <v>928</v>
      </c>
      <c r="G3438" s="157"/>
      <c r="J3438" s="110">
        <f>I3454</f>
        <v>176170</v>
      </c>
    </row>
    <row r="3439" spans="2:10" ht="15.95" customHeight="1" thickBot="1" x14ac:dyDescent="0.3">
      <c r="C3439" s="111" t="s">
        <v>328</v>
      </c>
      <c r="D3439" s="112" t="s">
        <v>359</v>
      </c>
      <c r="E3439" s="113" t="s">
        <v>360</v>
      </c>
      <c r="F3439" s="113" t="s">
        <v>330</v>
      </c>
      <c r="G3439" s="114" t="s">
        <v>361</v>
      </c>
      <c r="H3439" s="112" t="s">
        <v>362</v>
      </c>
      <c r="I3439" s="115" t="s">
        <v>363</v>
      </c>
    </row>
    <row r="3440" spans="2:10" ht="15.95" customHeight="1" x14ac:dyDescent="0.25">
      <c r="C3440" s="116" t="s">
        <v>364</v>
      </c>
      <c r="D3440" s="117" t="s">
        <v>365</v>
      </c>
      <c r="E3440" s="118"/>
      <c r="F3440" s="118"/>
      <c r="G3440" s="165"/>
      <c r="H3440" s="144"/>
      <c r="I3440" s="126"/>
    </row>
    <row r="3441" spans="2:10" ht="15.95" customHeight="1" x14ac:dyDescent="0.25">
      <c r="C3441" s="122"/>
      <c r="D3441" s="117" t="s">
        <v>366</v>
      </c>
      <c r="E3441" s="123" t="s">
        <v>367</v>
      </c>
      <c r="F3441" s="123" t="s">
        <v>368</v>
      </c>
      <c r="G3441" s="124">
        <v>0.45</v>
      </c>
      <c r="H3441" s="125">
        <f>VLOOKUP(D3441,Upah,8,FALSE)</f>
        <v>125000</v>
      </c>
      <c r="I3441" s="126">
        <f>G3441*H3441</f>
        <v>56250</v>
      </c>
    </row>
    <row r="3442" spans="2:10" ht="15.95" customHeight="1" x14ac:dyDescent="0.25">
      <c r="C3442" s="122"/>
      <c r="D3442" s="117" t="s">
        <v>505</v>
      </c>
      <c r="E3442" s="123" t="s">
        <v>414</v>
      </c>
      <c r="F3442" s="123" t="s">
        <v>368</v>
      </c>
      <c r="G3442" s="124">
        <v>0.22500000000000001</v>
      </c>
      <c r="H3442" s="125">
        <f>VLOOKUP(D3442,Upah,8,FALSE)</f>
        <v>150000</v>
      </c>
      <c r="I3442" s="126">
        <f>G3442*H3442</f>
        <v>33750</v>
      </c>
    </row>
    <row r="3443" spans="2:10" ht="15.95" customHeight="1" x14ac:dyDescent="0.25">
      <c r="C3443" s="122"/>
      <c r="D3443" s="117" t="s">
        <v>371</v>
      </c>
      <c r="E3443" s="123" t="s">
        <v>372</v>
      </c>
      <c r="F3443" s="123" t="s">
        <v>368</v>
      </c>
      <c r="G3443" s="124">
        <v>2.3E-2</v>
      </c>
      <c r="H3443" s="125">
        <f>VLOOKUP(D3443,Upah,8,FALSE)</f>
        <v>165000</v>
      </c>
      <c r="I3443" s="126">
        <f>G3443*H3443</f>
        <v>3795</v>
      </c>
    </row>
    <row r="3444" spans="2:10" ht="15.95" customHeight="1" thickBot="1" x14ac:dyDescent="0.3">
      <c r="C3444" s="122"/>
      <c r="D3444" s="117" t="s">
        <v>373</v>
      </c>
      <c r="E3444" s="123" t="s">
        <v>374</v>
      </c>
      <c r="F3444" s="123" t="s">
        <v>368</v>
      </c>
      <c r="G3444" s="124">
        <v>2.3E-2</v>
      </c>
      <c r="H3444" s="125">
        <f>VLOOKUP(D3444,Upah,8,FALSE)</f>
        <v>170000</v>
      </c>
      <c r="I3444" s="126">
        <f>G3444*H3444</f>
        <v>3910</v>
      </c>
    </row>
    <row r="3445" spans="2:10" ht="15.95" customHeight="1" thickBot="1" x14ac:dyDescent="0.3">
      <c r="C3445" s="132"/>
      <c r="D3445" s="133"/>
      <c r="E3445" s="134"/>
      <c r="F3445" s="134"/>
      <c r="G3445" s="135" t="s">
        <v>375</v>
      </c>
      <c r="H3445" s="136"/>
      <c r="I3445" s="137">
        <f>SUM(I3441:I3444)</f>
        <v>97705</v>
      </c>
    </row>
    <row r="3446" spans="2:10" ht="15.95" customHeight="1" x14ac:dyDescent="0.25">
      <c r="C3446" s="116" t="s">
        <v>376</v>
      </c>
      <c r="D3446" s="117" t="s">
        <v>377</v>
      </c>
      <c r="E3446" s="118"/>
      <c r="F3446" s="118"/>
      <c r="G3446" s="165"/>
      <c r="H3446" s="144"/>
      <c r="I3446" s="126"/>
    </row>
    <row r="3447" spans="2:10" ht="15.95" customHeight="1" x14ac:dyDescent="0.25">
      <c r="C3447" s="122"/>
      <c r="D3447" s="117" t="s">
        <v>380</v>
      </c>
      <c r="E3447" s="118"/>
      <c r="F3447" s="123" t="s">
        <v>159</v>
      </c>
      <c r="G3447" s="124">
        <v>10</v>
      </c>
      <c r="H3447" s="144">
        <f>VLOOKUP(D3447,Bahan,6,FALSE)</f>
        <v>1880</v>
      </c>
      <c r="I3447" s="126">
        <f>G3447*H3447</f>
        <v>18800</v>
      </c>
    </row>
    <row r="3448" spans="2:10" ht="15.95" customHeight="1" thickBot="1" x14ac:dyDescent="0.3">
      <c r="C3448" s="122"/>
      <c r="D3448" s="117" t="s">
        <v>929</v>
      </c>
      <c r="E3448" s="118"/>
      <c r="F3448" s="123" t="s">
        <v>159</v>
      </c>
      <c r="G3448" s="124">
        <v>15</v>
      </c>
      <c r="H3448" s="144">
        <f>VLOOKUP(D3448,Bahan,6,FALSE)</f>
        <v>2910</v>
      </c>
      <c r="I3448" s="126">
        <f>G3448*H3448</f>
        <v>43650</v>
      </c>
    </row>
    <row r="3449" spans="2:10" ht="15.95" customHeight="1" thickBot="1" x14ac:dyDescent="0.3">
      <c r="C3449" s="132"/>
      <c r="D3449" s="133"/>
      <c r="E3449" s="134"/>
      <c r="F3449" s="134"/>
      <c r="G3449" s="135" t="s">
        <v>386</v>
      </c>
      <c r="H3449" s="136"/>
      <c r="I3449" s="137">
        <f>SUM(I3447:I3448)</f>
        <v>62450</v>
      </c>
    </row>
    <row r="3450" spans="2:10" ht="15.95" customHeight="1" thickBot="1" x14ac:dyDescent="0.3">
      <c r="C3450" s="116" t="s">
        <v>387</v>
      </c>
      <c r="D3450" s="117" t="s">
        <v>388</v>
      </c>
      <c r="E3450" s="118"/>
      <c r="F3450" s="118"/>
      <c r="G3450" s="165"/>
      <c r="H3450" s="144">
        <f>IF(AND(D3450&lt;&gt;"",F3450&lt;&gt;""),IF(C3450="",IF(F3450="OH",VLOOKUP(D3450,[1]UPAH!$B$3:$G$32,7,0),VLOOKUP(D3450,[1]BAHAN!$A$2:$D$3,4,0)),0),0)</f>
        <v>0</v>
      </c>
      <c r="I3450" s="126">
        <f>G3450*H3450</f>
        <v>0</v>
      </c>
    </row>
    <row r="3451" spans="2:10" ht="15.95" customHeight="1" thickBot="1" x14ac:dyDescent="0.3">
      <c r="C3451" s="132"/>
      <c r="D3451" s="133"/>
      <c r="E3451" s="134"/>
      <c r="F3451" s="134"/>
      <c r="G3451" s="135" t="s">
        <v>389</v>
      </c>
      <c r="H3451" s="136"/>
      <c r="I3451" s="137">
        <f>I3450</f>
        <v>0</v>
      </c>
    </row>
    <row r="3452" spans="2:10" ht="15.95" customHeight="1" x14ac:dyDescent="0.25">
      <c r="C3452" s="158" t="s">
        <v>390</v>
      </c>
      <c r="D3452" s="159" t="s">
        <v>391</v>
      </c>
      <c r="E3452" s="160"/>
      <c r="F3452" s="160"/>
      <c r="G3452" s="161"/>
      <c r="H3452" s="162">
        <f>IF(AND(D3452&lt;&gt;"",F3452&lt;&gt;""),IF(C3452="",IF(F3452="OH",VLOOKUP(D3452,[1]UPAH!$B$3:$G$32,7,0),VLOOKUP(D3452,[1]BAHAN!$A$2:$D$3,4,0)),0),0)</f>
        <v>0</v>
      </c>
      <c r="I3452" s="126">
        <f>SUM(I3441:I3451)/2</f>
        <v>160155</v>
      </c>
    </row>
    <row r="3453" spans="2:10" ht="15.95" customHeight="1" thickBot="1" x14ac:dyDescent="0.3">
      <c r="C3453" s="147" t="s">
        <v>392</v>
      </c>
      <c r="D3453" s="148" t="s">
        <v>393</v>
      </c>
      <c r="E3453" s="149"/>
      <c r="F3453" s="149"/>
      <c r="G3453" s="164">
        <v>0.1</v>
      </c>
      <c r="H3453" s="151"/>
      <c r="I3453" s="146">
        <f>G3453*I3452</f>
        <v>16015.5</v>
      </c>
    </row>
    <row r="3454" spans="2:10" ht="15.95" customHeight="1" thickBot="1" x14ac:dyDescent="0.3">
      <c r="C3454" s="111" t="s">
        <v>394</v>
      </c>
      <c r="D3454" s="112" t="s">
        <v>395</v>
      </c>
      <c r="E3454" s="134"/>
      <c r="F3454" s="134"/>
      <c r="G3454" s="156"/>
      <c r="H3454" s="136">
        <f>IF(AND(D3454&lt;&gt;"",F3454&lt;&gt;""),IF(C3454="",IF(F3454="OH",VLOOKUP(D3454,[1]UPAH!$B$3:$G$32,7,0),VLOOKUP(D3454,[1]BAHAN!$A$2:$D$3,4,0)),0),0)</f>
        <v>0</v>
      </c>
      <c r="I3454" s="137">
        <f>ROUNDDOWN(I3452+I3453,0)</f>
        <v>176170</v>
      </c>
    </row>
    <row r="3455" spans="2:10" ht="15.95" customHeight="1" x14ac:dyDescent="0.25">
      <c r="C3455" s="109"/>
      <c r="D3455" s="109"/>
      <c r="G3455" s="157"/>
    </row>
    <row r="3456" spans="2:10" ht="15.95" customHeight="1" thickBot="1" x14ac:dyDescent="0.3">
      <c r="B3456" s="109" t="s">
        <v>930</v>
      </c>
      <c r="C3456" s="104" t="s">
        <v>931</v>
      </c>
      <c r="G3456" s="157"/>
      <c r="J3456" s="110">
        <f>I3472</f>
        <v>72976</v>
      </c>
    </row>
    <row r="3457" spans="3:9" ht="15.95" customHeight="1" thickBot="1" x14ac:dyDescent="0.3">
      <c r="C3457" s="111" t="s">
        <v>328</v>
      </c>
      <c r="D3457" s="112" t="s">
        <v>359</v>
      </c>
      <c r="E3457" s="113" t="s">
        <v>360</v>
      </c>
      <c r="F3457" s="113" t="s">
        <v>330</v>
      </c>
      <c r="G3457" s="114" t="s">
        <v>361</v>
      </c>
      <c r="H3457" s="112" t="s">
        <v>362</v>
      </c>
      <c r="I3457" s="115" t="s">
        <v>363</v>
      </c>
    </row>
    <row r="3458" spans="3:9" ht="15.95" customHeight="1" x14ac:dyDescent="0.25">
      <c r="C3458" s="116" t="s">
        <v>364</v>
      </c>
      <c r="D3458" s="117" t="s">
        <v>365</v>
      </c>
      <c r="E3458" s="118"/>
      <c r="F3458" s="118"/>
      <c r="G3458" s="165"/>
      <c r="H3458" s="144"/>
      <c r="I3458" s="126"/>
    </row>
    <row r="3459" spans="3:9" ht="15.95" customHeight="1" x14ac:dyDescent="0.25">
      <c r="C3459" s="122"/>
      <c r="D3459" s="117" t="s">
        <v>366</v>
      </c>
      <c r="E3459" s="123" t="s">
        <v>367</v>
      </c>
      <c r="F3459" s="123" t="s">
        <v>368</v>
      </c>
      <c r="G3459" s="124">
        <v>0.3</v>
      </c>
      <c r="H3459" s="125">
        <f>VLOOKUP(D3459,Upah,8,FALSE)</f>
        <v>125000</v>
      </c>
      <c r="I3459" s="126">
        <f>G3459*H3459</f>
        <v>37500</v>
      </c>
    </row>
    <row r="3460" spans="3:9" ht="15.95" customHeight="1" x14ac:dyDescent="0.25">
      <c r="C3460" s="122"/>
      <c r="D3460" s="117" t="s">
        <v>505</v>
      </c>
      <c r="E3460" s="123" t="s">
        <v>414</v>
      </c>
      <c r="F3460" s="123" t="s">
        <v>368</v>
      </c>
      <c r="G3460" s="124">
        <v>0.1</v>
      </c>
      <c r="H3460" s="125">
        <f>VLOOKUP(D3460,Upah,8,FALSE)</f>
        <v>150000</v>
      </c>
      <c r="I3460" s="126">
        <f>G3460*H3460</f>
        <v>15000</v>
      </c>
    </row>
    <row r="3461" spans="3:9" ht="15.95" customHeight="1" x14ac:dyDescent="0.25">
      <c r="C3461" s="122"/>
      <c r="D3461" s="117" t="s">
        <v>371</v>
      </c>
      <c r="E3461" s="123" t="s">
        <v>372</v>
      </c>
      <c r="F3461" s="123" t="s">
        <v>368</v>
      </c>
      <c r="G3461" s="124">
        <v>0.01</v>
      </c>
      <c r="H3461" s="125">
        <f>VLOOKUP(D3461,Upah,8,FALSE)</f>
        <v>165000</v>
      </c>
      <c r="I3461" s="126">
        <f>G3461*H3461</f>
        <v>1650</v>
      </c>
    </row>
    <row r="3462" spans="3:9" ht="15.95" customHeight="1" thickBot="1" x14ac:dyDescent="0.3">
      <c r="C3462" s="122"/>
      <c r="D3462" s="117" t="s">
        <v>373</v>
      </c>
      <c r="E3462" s="123" t="s">
        <v>374</v>
      </c>
      <c r="F3462" s="123" t="s">
        <v>368</v>
      </c>
      <c r="G3462" s="124">
        <v>1.4999999999999999E-2</v>
      </c>
      <c r="H3462" s="125">
        <f>VLOOKUP(D3462,Upah,8,FALSE)</f>
        <v>170000</v>
      </c>
      <c r="I3462" s="126">
        <f>G3462*H3462</f>
        <v>2550</v>
      </c>
    </row>
    <row r="3463" spans="3:9" ht="15.95" customHeight="1" thickBot="1" x14ac:dyDescent="0.3">
      <c r="C3463" s="132"/>
      <c r="D3463" s="133"/>
      <c r="E3463" s="134"/>
      <c r="F3463" s="134"/>
      <c r="G3463" s="135" t="s">
        <v>375</v>
      </c>
      <c r="H3463" s="136"/>
      <c r="I3463" s="137">
        <f>SUM(I3459:I3462)</f>
        <v>56700</v>
      </c>
    </row>
    <row r="3464" spans="3:9" ht="15.95" customHeight="1" x14ac:dyDescent="0.25">
      <c r="C3464" s="116" t="s">
        <v>376</v>
      </c>
      <c r="D3464" s="117" t="s">
        <v>377</v>
      </c>
      <c r="E3464" s="118"/>
      <c r="F3464" s="118"/>
      <c r="G3464" s="165"/>
      <c r="H3464" s="144"/>
      <c r="I3464" s="126"/>
    </row>
    <row r="3465" spans="3:9" ht="15.95" customHeight="1" x14ac:dyDescent="0.25">
      <c r="C3465" s="122"/>
      <c r="D3465" s="117" t="s">
        <v>380</v>
      </c>
      <c r="E3465" s="118"/>
      <c r="F3465" s="123" t="s">
        <v>159</v>
      </c>
      <c r="G3465" s="124">
        <v>4.32</v>
      </c>
      <c r="H3465" s="144">
        <f>VLOOKUP(D3465,Bahan,6,FALSE)</f>
        <v>1880</v>
      </c>
      <c r="I3465" s="126">
        <f>G3465*H3465</f>
        <v>8121.6</v>
      </c>
    </row>
    <row r="3466" spans="3:9" ht="15.95" customHeight="1" thickBot="1" x14ac:dyDescent="0.3">
      <c r="C3466" s="122"/>
      <c r="D3466" s="117" t="s">
        <v>493</v>
      </c>
      <c r="E3466" s="118"/>
      <c r="F3466" s="123" t="s">
        <v>158</v>
      </c>
      <c r="G3466" s="124">
        <v>6.0000000000000001E-3</v>
      </c>
      <c r="H3466" s="144">
        <f>VLOOKUP(D3466,Bahan,6,FALSE)</f>
        <v>253510</v>
      </c>
      <c r="I3466" s="126">
        <f>G3466*H3466</f>
        <v>1521.06</v>
      </c>
    </row>
    <row r="3467" spans="3:9" ht="15.95" customHeight="1" thickBot="1" x14ac:dyDescent="0.3">
      <c r="C3467" s="132"/>
      <c r="D3467" s="133"/>
      <c r="E3467" s="134"/>
      <c r="F3467" s="134"/>
      <c r="G3467" s="135" t="s">
        <v>386</v>
      </c>
      <c r="H3467" s="136"/>
      <c r="I3467" s="137">
        <f>SUM(I3465:I3466)</f>
        <v>9642.66</v>
      </c>
    </row>
    <row r="3468" spans="3:9" ht="15.95" customHeight="1" thickBot="1" x14ac:dyDescent="0.3">
      <c r="C3468" s="116" t="s">
        <v>387</v>
      </c>
      <c r="D3468" s="117" t="s">
        <v>388</v>
      </c>
      <c r="E3468" s="118"/>
      <c r="F3468" s="118"/>
      <c r="G3468" s="165"/>
      <c r="H3468" s="144">
        <f>IF(AND(D3468&lt;&gt;"",F3468&lt;&gt;""),IF(C3468="",IF(F3468="OH",VLOOKUP(D3468,[1]UPAH!$B$3:$G$32,7,0),VLOOKUP(D3468,[1]BAHAN!$A$2:$D$3,4,0)),0),0)</f>
        <v>0</v>
      </c>
      <c r="I3468" s="126">
        <f>G3468*H3468</f>
        <v>0</v>
      </c>
    </row>
    <row r="3469" spans="3:9" ht="15.95" customHeight="1" thickBot="1" x14ac:dyDescent="0.3">
      <c r="C3469" s="132"/>
      <c r="D3469" s="133"/>
      <c r="E3469" s="134"/>
      <c r="F3469" s="134"/>
      <c r="G3469" s="135" t="s">
        <v>389</v>
      </c>
      <c r="H3469" s="136"/>
      <c r="I3469" s="137">
        <f>I3468</f>
        <v>0</v>
      </c>
    </row>
    <row r="3470" spans="3:9" ht="15.95" customHeight="1" x14ac:dyDescent="0.25">
      <c r="C3470" s="158" t="s">
        <v>390</v>
      </c>
      <c r="D3470" s="159" t="s">
        <v>391</v>
      </c>
      <c r="E3470" s="160"/>
      <c r="F3470" s="160"/>
      <c r="G3470" s="161"/>
      <c r="H3470" s="162">
        <f>IF(AND(D3470&lt;&gt;"",F3470&lt;&gt;""),IF(C3470="",IF(F3470="OH",VLOOKUP(D3470,[1]UPAH!$B$3:$G$32,7,0),VLOOKUP(D3470,[1]BAHAN!$A$2:$D$3,4,0)),0),0)</f>
        <v>0</v>
      </c>
      <c r="I3470" s="126">
        <f>SUM(I3459:I3469)/2</f>
        <v>66342.66</v>
      </c>
    </row>
    <row r="3471" spans="3:9" ht="15.95" customHeight="1" thickBot="1" x14ac:dyDescent="0.3">
      <c r="C3471" s="147" t="s">
        <v>392</v>
      </c>
      <c r="D3471" s="148" t="s">
        <v>393</v>
      </c>
      <c r="E3471" s="149"/>
      <c r="F3471" s="149"/>
      <c r="G3471" s="164">
        <v>0.1</v>
      </c>
      <c r="H3471" s="151"/>
      <c r="I3471" s="146">
        <f>G3471*I3470</f>
        <v>6634.2660000000005</v>
      </c>
    </row>
    <row r="3472" spans="3:9" ht="15.95" customHeight="1" thickBot="1" x14ac:dyDescent="0.3">
      <c r="C3472" s="111" t="s">
        <v>394</v>
      </c>
      <c r="D3472" s="112" t="s">
        <v>395</v>
      </c>
      <c r="E3472" s="134"/>
      <c r="F3472" s="134"/>
      <c r="G3472" s="156"/>
      <c r="H3472" s="136">
        <f>IF(AND(D3472&lt;&gt;"",F3472&lt;&gt;""),IF(C3472="",IF(F3472="OH",VLOOKUP(D3472,[1]UPAH!$B$3:$G$32,7,0),VLOOKUP(D3472,[1]BAHAN!$A$2:$D$3,4,0)),0),0)</f>
        <v>0</v>
      </c>
      <c r="I3472" s="137">
        <f>ROUNDDOWN(I3470+I3471,0)</f>
        <v>72976</v>
      </c>
    </row>
    <row r="3473" spans="2:10" ht="15.95" customHeight="1" x14ac:dyDescent="0.25">
      <c r="C3473" s="109"/>
      <c r="D3473" s="109"/>
      <c r="G3473" s="157"/>
    </row>
    <row r="3474" spans="2:10" ht="15.95" customHeight="1" thickBot="1" x14ac:dyDescent="0.3">
      <c r="B3474" s="104" t="s">
        <v>932</v>
      </c>
      <c r="C3474" s="109" t="s">
        <v>933</v>
      </c>
      <c r="G3474" s="157"/>
      <c r="J3474" s="110">
        <f>I3489</f>
        <v>42375</v>
      </c>
    </row>
    <row r="3475" spans="2:10" ht="15.95" customHeight="1" thickBot="1" x14ac:dyDescent="0.3">
      <c r="C3475" s="111" t="s">
        <v>328</v>
      </c>
      <c r="D3475" s="112" t="s">
        <v>359</v>
      </c>
      <c r="E3475" s="113" t="s">
        <v>360</v>
      </c>
      <c r="F3475" s="113" t="s">
        <v>330</v>
      </c>
      <c r="G3475" s="114" t="s">
        <v>361</v>
      </c>
      <c r="H3475" s="112" t="s">
        <v>362</v>
      </c>
      <c r="I3475" s="115" t="s">
        <v>363</v>
      </c>
    </row>
    <row r="3476" spans="2:10" ht="15.95" customHeight="1" x14ac:dyDescent="0.25">
      <c r="C3476" s="116" t="s">
        <v>364</v>
      </c>
      <c r="D3476" s="117" t="s">
        <v>365</v>
      </c>
      <c r="E3476" s="118"/>
      <c r="F3476" s="118"/>
      <c r="G3476" s="165"/>
      <c r="H3476" s="144"/>
      <c r="I3476" s="126"/>
    </row>
    <row r="3477" spans="2:10" ht="15.95" customHeight="1" x14ac:dyDescent="0.25">
      <c r="C3477" s="122"/>
      <c r="D3477" s="117" t="s">
        <v>366</v>
      </c>
      <c r="E3477" s="123" t="s">
        <v>367</v>
      </c>
      <c r="F3477" s="123" t="s">
        <v>368</v>
      </c>
      <c r="G3477" s="124">
        <v>0.15</v>
      </c>
      <c r="H3477" s="125">
        <f>VLOOKUP(D3477,Upah,8,FALSE)</f>
        <v>125000</v>
      </c>
      <c r="I3477" s="126">
        <f>G3477*H3477</f>
        <v>18750</v>
      </c>
    </row>
    <row r="3478" spans="2:10" ht="15.95" customHeight="1" x14ac:dyDescent="0.25">
      <c r="C3478" s="122"/>
      <c r="D3478" s="117" t="s">
        <v>505</v>
      </c>
      <c r="E3478" s="123" t="s">
        <v>414</v>
      </c>
      <c r="F3478" s="123" t="s">
        <v>368</v>
      </c>
      <c r="G3478" s="124">
        <v>7.4999999999999997E-2</v>
      </c>
      <c r="H3478" s="125">
        <f>VLOOKUP(D3478,Upah,8,FALSE)</f>
        <v>150000</v>
      </c>
      <c r="I3478" s="126">
        <f>G3478*H3478</f>
        <v>11250</v>
      </c>
    </row>
    <row r="3479" spans="2:10" ht="15.95" customHeight="1" x14ac:dyDescent="0.25">
      <c r="C3479" s="122"/>
      <c r="D3479" s="117" t="s">
        <v>371</v>
      </c>
      <c r="E3479" s="123" t="s">
        <v>372</v>
      </c>
      <c r="F3479" s="123" t="s">
        <v>368</v>
      </c>
      <c r="G3479" s="124">
        <v>8.0000000000000002E-3</v>
      </c>
      <c r="H3479" s="125">
        <f>VLOOKUP(D3479,Upah,8,FALSE)</f>
        <v>165000</v>
      </c>
      <c r="I3479" s="126">
        <f>G3479*H3479</f>
        <v>1320</v>
      </c>
    </row>
    <row r="3480" spans="2:10" ht="15.95" customHeight="1" thickBot="1" x14ac:dyDescent="0.3">
      <c r="C3480" s="122"/>
      <c r="D3480" s="117" t="s">
        <v>373</v>
      </c>
      <c r="E3480" s="123" t="s">
        <v>374</v>
      </c>
      <c r="F3480" s="123" t="s">
        <v>368</v>
      </c>
      <c r="G3480" s="124">
        <v>8.0000000000000002E-3</v>
      </c>
      <c r="H3480" s="125">
        <f>VLOOKUP(D3480,Upah,8,FALSE)</f>
        <v>170000</v>
      </c>
      <c r="I3480" s="126">
        <f>G3480*H3480</f>
        <v>1360</v>
      </c>
    </row>
    <row r="3481" spans="2:10" ht="15.95" customHeight="1" thickBot="1" x14ac:dyDescent="0.3">
      <c r="C3481" s="132"/>
      <c r="D3481" s="133"/>
      <c r="E3481" s="134"/>
      <c r="F3481" s="134"/>
      <c r="G3481" s="135" t="s">
        <v>375</v>
      </c>
      <c r="H3481" s="136"/>
      <c r="I3481" s="137">
        <f>SUM(I3477:I3480)</f>
        <v>32680</v>
      </c>
    </row>
    <row r="3482" spans="2:10" ht="15.95" customHeight="1" x14ac:dyDescent="0.25">
      <c r="C3482" s="116" t="s">
        <v>376</v>
      </c>
      <c r="D3482" s="117" t="s">
        <v>377</v>
      </c>
      <c r="E3482" s="118"/>
      <c r="F3482" s="118"/>
      <c r="G3482" s="165"/>
      <c r="H3482" s="144"/>
      <c r="I3482" s="126"/>
    </row>
    <row r="3483" spans="2:10" ht="15.95" customHeight="1" thickBot="1" x14ac:dyDescent="0.3">
      <c r="C3483" s="122"/>
      <c r="D3483" s="117" t="s">
        <v>380</v>
      </c>
      <c r="E3483" s="118"/>
      <c r="F3483" s="123" t="s">
        <v>159</v>
      </c>
      <c r="G3483" s="124">
        <v>3.1080000000000001</v>
      </c>
      <c r="H3483" s="144">
        <f>VLOOKUP(D3483,Bahan,6,FALSE)</f>
        <v>1880</v>
      </c>
      <c r="I3483" s="126">
        <f>G3483*H3483</f>
        <v>5843.04</v>
      </c>
    </row>
    <row r="3484" spans="2:10" ht="15.95" customHeight="1" thickBot="1" x14ac:dyDescent="0.3">
      <c r="C3484" s="132"/>
      <c r="D3484" s="133"/>
      <c r="E3484" s="134"/>
      <c r="F3484" s="134"/>
      <c r="G3484" s="135" t="s">
        <v>386</v>
      </c>
      <c r="H3484" s="136"/>
      <c r="I3484" s="137">
        <f>SUM(I3483)</f>
        <v>5843.04</v>
      </c>
    </row>
    <row r="3485" spans="2:10" ht="15.95" customHeight="1" thickBot="1" x14ac:dyDescent="0.3">
      <c r="C3485" s="116" t="s">
        <v>387</v>
      </c>
      <c r="D3485" s="117" t="s">
        <v>388</v>
      </c>
      <c r="E3485" s="118"/>
      <c r="F3485" s="118"/>
      <c r="G3485" s="165"/>
      <c r="H3485" s="144">
        <f>IF(AND(D3485&lt;&gt;"",F3485&lt;&gt;""),IF(C3485="",IF(F3485="OH",VLOOKUP(D3485,[1]UPAH!$B$3:$G$32,7,0),VLOOKUP(D3485,[1]BAHAN!$A$2:$D$3,4,0)),0),0)</f>
        <v>0</v>
      </c>
      <c r="I3485" s="126">
        <f>G3485*H3485</f>
        <v>0</v>
      </c>
    </row>
    <row r="3486" spans="2:10" ht="15.95" customHeight="1" thickBot="1" x14ac:dyDescent="0.3">
      <c r="C3486" s="132"/>
      <c r="D3486" s="133"/>
      <c r="E3486" s="134"/>
      <c r="F3486" s="134"/>
      <c r="G3486" s="135" t="s">
        <v>389</v>
      </c>
      <c r="H3486" s="136"/>
      <c r="I3486" s="137">
        <f>I3485</f>
        <v>0</v>
      </c>
    </row>
    <row r="3487" spans="2:10" ht="15.95" customHeight="1" x14ac:dyDescent="0.25">
      <c r="C3487" s="158" t="s">
        <v>390</v>
      </c>
      <c r="D3487" s="159" t="s">
        <v>391</v>
      </c>
      <c r="E3487" s="160"/>
      <c r="F3487" s="160"/>
      <c r="G3487" s="161"/>
      <c r="H3487" s="162">
        <f>IF(AND(D3487&lt;&gt;"",F3487&lt;&gt;""),IF(C3487="",IF(F3487="OH",VLOOKUP(D3487,[1]UPAH!$B$3:$G$32,7,0),VLOOKUP(D3487,[1]BAHAN!$A$2:$D$3,4,0)),0),0)</f>
        <v>0</v>
      </c>
      <c r="I3487" s="126">
        <f>SUM(I3476:I3486)/2</f>
        <v>38523.039999999994</v>
      </c>
    </row>
    <row r="3488" spans="2:10" ht="15.95" customHeight="1" thickBot="1" x14ac:dyDescent="0.3">
      <c r="C3488" s="147" t="s">
        <v>392</v>
      </c>
      <c r="D3488" s="148" t="s">
        <v>393</v>
      </c>
      <c r="E3488" s="149"/>
      <c r="F3488" s="149"/>
      <c r="G3488" s="164">
        <v>0.1</v>
      </c>
      <c r="H3488" s="151"/>
      <c r="I3488" s="146">
        <f>G3488*I3487</f>
        <v>3852.3039999999996</v>
      </c>
    </row>
    <row r="3489" spans="2:10" ht="15.95" customHeight="1" thickBot="1" x14ac:dyDescent="0.3">
      <c r="C3489" s="111" t="s">
        <v>394</v>
      </c>
      <c r="D3489" s="112" t="s">
        <v>395</v>
      </c>
      <c r="E3489" s="134"/>
      <c r="F3489" s="134"/>
      <c r="G3489" s="156"/>
      <c r="H3489" s="136">
        <f>IF(AND(D3489&lt;&gt;"",F3489&lt;&gt;""),IF(C3489="",IF(F3489="OH",VLOOKUP(D3489,[1]UPAH!$B$3:$G$32,7,0),VLOOKUP(D3489,[1]BAHAN!$A$2:$D$3,4,0)),0),0)</f>
        <v>0</v>
      </c>
      <c r="I3489" s="137">
        <f>ROUNDDOWN(I3487+I3488,0)</f>
        <v>42375</v>
      </c>
    </row>
    <row r="3490" spans="2:10" ht="15.95" customHeight="1" x14ac:dyDescent="0.25">
      <c r="C3490" s="109"/>
      <c r="D3490" s="109"/>
      <c r="G3490" s="157"/>
    </row>
    <row r="3491" spans="2:10" ht="15.95" customHeight="1" thickBot="1" x14ac:dyDescent="0.3">
      <c r="B3491" s="109" t="s">
        <v>934</v>
      </c>
      <c r="C3491" s="104" t="s">
        <v>935</v>
      </c>
      <c r="G3491" s="157"/>
      <c r="J3491" s="110">
        <f>I3506</f>
        <v>20182</v>
      </c>
    </row>
    <row r="3492" spans="2:10" ht="15.95" customHeight="1" thickBot="1" x14ac:dyDescent="0.3">
      <c r="C3492" s="111" t="s">
        <v>328</v>
      </c>
      <c r="D3492" s="112" t="s">
        <v>359</v>
      </c>
      <c r="E3492" s="113" t="s">
        <v>360</v>
      </c>
      <c r="F3492" s="113" t="s">
        <v>330</v>
      </c>
      <c r="G3492" s="114" t="s">
        <v>361</v>
      </c>
      <c r="H3492" s="112" t="s">
        <v>362</v>
      </c>
      <c r="I3492" s="115" t="s">
        <v>363</v>
      </c>
    </row>
    <row r="3493" spans="2:10" ht="15.95" customHeight="1" x14ac:dyDescent="0.25">
      <c r="C3493" s="116" t="s">
        <v>364</v>
      </c>
      <c r="D3493" s="117" t="s">
        <v>365</v>
      </c>
      <c r="E3493" s="118"/>
      <c r="F3493" s="118"/>
      <c r="G3493" s="165"/>
      <c r="H3493" s="144"/>
      <c r="I3493" s="126"/>
    </row>
    <row r="3494" spans="2:10" ht="15.95" customHeight="1" x14ac:dyDescent="0.25">
      <c r="C3494" s="122"/>
      <c r="D3494" s="117" t="s">
        <v>366</v>
      </c>
      <c r="E3494" s="123" t="s">
        <v>367</v>
      </c>
      <c r="F3494" s="123" t="s">
        <v>368</v>
      </c>
      <c r="G3494" s="124">
        <v>7.0000000000000007E-2</v>
      </c>
      <c r="H3494" s="125">
        <f>VLOOKUP(D3494,Upah,8,FALSE)</f>
        <v>125000</v>
      </c>
      <c r="I3494" s="126">
        <f>G3494*H3494</f>
        <v>8750</v>
      </c>
    </row>
    <row r="3495" spans="2:10" ht="15.95" customHeight="1" x14ac:dyDescent="0.25">
      <c r="C3495" s="122"/>
      <c r="D3495" s="117" t="s">
        <v>505</v>
      </c>
      <c r="E3495" s="123" t="s">
        <v>414</v>
      </c>
      <c r="F3495" s="123" t="s">
        <v>368</v>
      </c>
      <c r="G3495" s="124">
        <v>3.5000000000000003E-2</v>
      </c>
      <c r="H3495" s="125">
        <f>VLOOKUP(D3495,Upah,8,FALSE)</f>
        <v>150000</v>
      </c>
      <c r="I3495" s="126">
        <f>G3495*H3495</f>
        <v>5250.0000000000009</v>
      </c>
    </row>
    <row r="3496" spans="2:10" ht="15.95" customHeight="1" x14ac:dyDescent="0.25">
      <c r="C3496" s="122"/>
      <c r="D3496" s="117" t="s">
        <v>371</v>
      </c>
      <c r="E3496" s="123" t="s">
        <v>372</v>
      </c>
      <c r="F3496" s="123" t="s">
        <v>368</v>
      </c>
      <c r="G3496" s="124">
        <v>4.0000000000000001E-3</v>
      </c>
      <c r="H3496" s="125">
        <f>VLOOKUP(D3496,Upah,8,FALSE)</f>
        <v>165000</v>
      </c>
      <c r="I3496" s="126">
        <f>G3496*H3496</f>
        <v>660</v>
      </c>
    </row>
    <row r="3497" spans="2:10" ht="15.95" customHeight="1" thickBot="1" x14ac:dyDescent="0.3">
      <c r="C3497" s="122"/>
      <c r="D3497" s="117" t="s">
        <v>373</v>
      </c>
      <c r="E3497" s="123" t="s">
        <v>374</v>
      </c>
      <c r="F3497" s="123" t="s">
        <v>368</v>
      </c>
      <c r="G3497" s="124">
        <v>4.0000000000000001E-3</v>
      </c>
      <c r="H3497" s="125">
        <f>VLOOKUP(D3497,Upah,8,FALSE)</f>
        <v>170000</v>
      </c>
      <c r="I3497" s="126">
        <f>G3497*H3497</f>
        <v>680</v>
      </c>
    </row>
    <row r="3498" spans="2:10" ht="15.95" customHeight="1" thickBot="1" x14ac:dyDescent="0.3">
      <c r="C3498" s="132"/>
      <c r="D3498" s="133"/>
      <c r="E3498" s="134"/>
      <c r="F3498" s="134"/>
      <c r="G3498" s="135" t="s">
        <v>375</v>
      </c>
      <c r="H3498" s="136"/>
      <c r="I3498" s="137">
        <f>SUM(I3494:I3497)</f>
        <v>15340</v>
      </c>
    </row>
    <row r="3499" spans="2:10" ht="15.95" customHeight="1" x14ac:dyDescent="0.25">
      <c r="C3499" s="116" t="s">
        <v>376</v>
      </c>
      <c r="D3499" s="117" t="s">
        <v>377</v>
      </c>
      <c r="E3499" s="118"/>
      <c r="F3499" s="118"/>
      <c r="G3499" s="165"/>
      <c r="H3499" s="144"/>
      <c r="I3499" s="126"/>
    </row>
    <row r="3500" spans="2:10" ht="15.95" customHeight="1" thickBot="1" x14ac:dyDescent="0.3">
      <c r="C3500" s="122"/>
      <c r="D3500" s="117" t="s">
        <v>380</v>
      </c>
      <c r="E3500" s="118"/>
      <c r="F3500" s="123" t="s">
        <v>159</v>
      </c>
      <c r="G3500" s="124">
        <v>1.6</v>
      </c>
      <c r="H3500" s="144">
        <f>VLOOKUP(D3500,Bahan,6,FALSE)</f>
        <v>1880</v>
      </c>
      <c r="I3500" s="126">
        <f>G3500*H3500</f>
        <v>3008</v>
      </c>
    </row>
    <row r="3501" spans="2:10" ht="15.95" customHeight="1" thickBot="1" x14ac:dyDescent="0.3">
      <c r="C3501" s="132"/>
      <c r="D3501" s="133"/>
      <c r="E3501" s="134"/>
      <c r="F3501" s="134"/>
      <c r="G3501" s="135" t="s">
        <v>386</v>
      </c>
      <c r="H3501" s="136"/>
      <c r="I3501" s="137">
        <f>SUM(I3500)</f>
        <v>3008</v>
      </c>
    </row>
    <row r="3502" spans="2:10" ht="15.95" customHeight="1" thickBot="1" x14ac:dyDescent="0.3">
      <c r="C3502" s="116" t="s">
        <v>387</v>
      </c>
      <c r="D3502" s="117" t="s">
        <v>388</v>
      </c>
      <c r="E3502" s="118"/>
      <c r="F3502" s="118"/>
      <c r="G3502" s="165"/>
      <c r="H3502" s="144">
        <f>IF(AND(D3502&lt;&gt;"",F3502&lt;&gt;""),IF(C3502="",IF(F3502="OH",VLOOKUP(D3502,[1]UPAH!$B$3:$G$32,7,0),VLOOKUP(D3502,[1]BAHAN!$A$2:$D$3,4,0)),0),0)</f>
        <v>0</v>
      </c>
      <c r="I3502" s="126">
        <f>G3502*H3502</f>
        <v>0</v>
      </c>
    </row>
    <row r="3503" spans="2:10" ht="15.95" customHeight="1" thickBot="1" x14ac:dyDescent="0.3">
      <c r="C3503" s="132"/>
      <c r="D3503" s="133"/>
      <c r="E3503" s="134"/>
      <c r="F3503" s="134"/>
      <c r="G3503" s="135" t="s">
        <v>389</v>
      </c>
      <c r="H3503" s="136"/>
      <c r="I3503" s="137">
        <f>I3502</f>
        <v>0</v>
      </c>
    </row>
    <row r="3504" spans="2:10" ht="15.95" customHeight="1" x14ac:dyDescent="0.25">
      <c r="C3504" s="158" t="s">
        <v>390</v>
      </c>
      <c r="D3504" s="159" t="s">
        <v>391</v>
      </c>
      <c r="E3504" s="160"/>
      <c r="F3504" s="160"/>
      <c r="G3504" s="161"/>
      <c r="H3504" s="162">
        <f>IF(AND(D3504&lt;&gt;"",F3504&lt;&gt;""),IF(C3504="",IF(F3504="OH",VLOOKUP(D3504,[1]UPAH!$B$3:$G$32,7,0),VLOOKUP(D3504,[1]BAHAN!$A$2:$D$3,4,0)),0),0)</f>
        <v>0</v>
      </c>
      <c r="I3504" s="126">
        <f>SUM(I3493:I3503)/2</f>
        <v>18348</v>
      </c>
    </row>
    <row r="3505" spans="2:10" ht="15.95" customHeight="1" thickBot="1" x14ac:dyDescent="0.3">
      <c r="C3505" s="147" t="s">
        <v>392</v>
      </c>
      <c r="D3505" s="148" t="s">
        <v>393</v>
      </c>
      <c r="E3505" s="149"/>
      <c r="F3505" s="149"/>
      <c r="G3505" s="164">
        <v>0.1</v>
      </c>
      <c r="H3505" s="151"/>
      <c r="I3505" s="146">
        <f>G3505*I3504</f>
        <v>1834.8000000000002</v>
      </c>
    </row>
    <row r="3506" spans="2:10" ht="15.95" customHeight="1" thickBot="1" x14ac:dyDescent="0.3">
      <c r="C3506" s="111" t="s">
        <v>394</v>
      </c>
      <c r="D3506" s="112" t="s">
        <v>395</v>
      </c>
      <c r="E3506" s="134"/>
      <c r="F3506" s="134"/>
      <c r="G3506" s="156"/>
      <c r="H3506" s="136">
        <f>IF(AND(D3506&lt;&gt;"",F3506&lt;&gt;""),IF(C3506="",IF(F3506="OH",VLOOKUP(D3506,[1]UPAH!$B$3:$G$32,7,0),VLOOKUP(D3506,[1]BAHAN!$A$2:$D$3,4,0)),0),0)</f>
        <v>0</v>
      </c>
      <c r="I3506" s="137">
        <f>ROUNDDOWN(I3504+I3505,0)</f>
        <v>20182</v>
      </c>
    </row>
    <row r="3507" spans="2:10" ht="15.95" customHeight="1" x14ac:dyDescent="0.25">
      <c r="C3507" s="109"/>
      <c r="D3507" s="109"/>
      <c r="G3507" s="157"/>
    </row>
    <row r="3508" spans="2:10" ht="15.95" customHeight="1" thickBot="1" x14ac:dyDescent="0.3">
      <c r="B3508" s="109" t="s">
        <v>936</v>
      </c>
      <c r="C3508" s="104" t="s">
        <v>937</v>
      </c>
      <c r="G3508" s="157"/>
      <c r="J3508" s="110">
        <f>I3524</f>
        <v>87984</v>
      </c>
    </row>
    <row r="3509" spans="2:10" ht="15.95" customHeight="1" thickBot="1" x14ac:dyDescent="0.3">
      <c r="C3509" s="111" t="s">
        <v>328</v>
      </c>
      <c r="D3509" s="112" t="s">
        <v>359</v>
      </c>
      <c r="E3509" s="113" t="s">
        <v>360</v>
      </c>
      <c r="F3509" s="113" t="s">
        <v>330</v>
      </c>
      <c r="G3509" s="114" t="s">
        <v>361</v>
      </c>
      <c r="H3509" s="112" t="s">
        <v>362</v>
      </c>
      <c r="I3509" s="115" t="s">
        <v>363</v>
      </c>
    </row>
    <row r="3510" spans="2:10" ht="15.95" customHeight="1" x14ac:dyDescent="0.25">
      <c r="C3510" s="116" t="s">
        <v>364</v>
      </c>
      <c r="D3510" s="117" t="s">
        <v>365</v>
      </c>
      <c r="E3510" s="118"/>
      <c r="F3510" s="118"/>
      <c r="G3510" s="165"/>
      <c r="H3510" s="144"/>
      <c r="I3510" s="126"/>
    </row>
    <row r="3511" spans="2:10" ht="15.95" customHeight="1" x14ac:dyDescent="0.25">
      <c r="C3511" s="122"/>
      <c r="D3511" s="117" t="s">
        <v>366</v>
      </c>
      <c r="E3511" s="123" t="s">
        <v>367</v>
      </c>
      <c r="F3511" s="123" t="s">
        <v>368</v>
      </c>
      <c r="G3511" s="124">
        <v>0.3</v>
      </c>
      <c r="H3511" s="125">
        <f>VLOOKUP(D3511,Upah,8,FALSE)</f>
        <v>125000</v>
      </c>
      <c r="I3511" s="126">
        <f>G3511*H3511</f>
        <v>37500</v>
      </c>
    </row>
    <row r="3512" spans="2:10" ht="15.95" customHeight="1" x14ac:dyDescent="0.25">
      <c r="C3512" s="122"/>
      <c r="D3512" s="117" t="s">
        <v>505</v>
      </c>
      <c r="E3512" s="123" t="s">
        <v>414</v>
      </c>
      <c r="F3512" s="123" t="s">
        <v>368</v>
      </c>
      <c r="G3512" s="124">
        <v>0.15</v>
      </c>
      <c r="H3512" s="125">
        <f>VLOOKUP(D3512,Upah,8,FALSE)</f>
        <v>150000</v>
      </c>
      <c r="I3512" s="126">
        <f>G3512*H3512</f>
        <v>22500</v>
      </c>
    </row>
    <row r="3513" spans="2:10" ht="15.95" customHeight="1" x14ac:dyDescent="0.25">
      <c r="C3513" s="122"/>
      <c r="D3513" s="117" t="s">
        <v>371</v>
      </c>
      <c r="E3513" s="123" t="s">
        <v>372</v>
      </c>
      <c r="F3513" s="123" t="s">
        <v>368</v>
      </c>
      <c r="G3513" s="124">
        <v>1.4999999999999999E-2</v>
      </c>
      <c r="H3513" s="125">
        <f>VLOOKUP(D3513,Upah,8,FALSE)</f>
        <v>165000</v>
      </c>
      <c r="I3513" s="126">
        <f>G3513*H3513</f>
        <v>2475</v>
      </c>
    </row>
    <row r="3514" spans="2:10" ht="15.95" customHeight="1" thickBot="1" x14ac:dyDescent="0.3">
      <c r="C3514" s="122"/>
      <c r="D3514" s="117" t="s">
        <v>373</v>
      </c>
      <c r="E3514" s="123" t="s">
        <v>374</v>
      </c>
      <c r="F3514" s="123" t="s">
        <v>368</v>
      </c>
      <c r="G3514" s="124">
        <v>1.4999999999999999E-2</v>
      </c>
      <c r="H3514" s="125">
        <f>VLOOKUP(D3514,Upah,8,FALSE)</f>
        <v>170000</v>
      </c>
      <c r="I3514" s="126">
        <f>G3514*H3514</f>
        <v>2550</v>
      </c>
    </row>
    <row r="3515" spans="2:10" ht="15.95" customHeight="1" thickBot="1" x14ac:dyDescent="0.3">
      <c r="C3515" s="132"/>
      <c r="D3515" s="133"/>
      <c r="E3515" s="134"/>
      <c r="F3515" s="134"/>
      <c r="G3515" s="135" t="s">
        <v>375</v>
      </c>
      <c r="H3515" s="136"/>
      <c r="I3515" s="137">
        <f>SUM(I3511:I3514)</f>
        <v>65025</v>
      </c>
    </row>
    <row r="3516" spans="2:10" ht="15.95" customHeight="1" x14ac:dyDescent="0.25">
      <c r="C3516" s="116" t="s">
        <v>376</v>
      </c>
      <c r="D3516" s="117" t="s">
        <v>377</v>
      </c>
      <c r="E3516" s="118"/>
      <c r="F3516" s="118"/>
      <c r="G3516" s="165"/>
      <c r="H3516" s="144"/>
      <c r="I3516" s="126"/>
    </row>
    <row r="3517" spans="2:10" ht="15.95" customHeight="1" x14ac:dyDescent="0.25">
      <c r="C3517" s="122"/>
      <c r="D3517" s="117" t="s">
        <v>380</v>
      </c>
      <c r="E3517" s="118"/>
      <c r="F3517" s="123" t="s">
        <v>159</v>
      </c>
      <c r="G3517" s="124">
        <v>6.34</v>
      </c>
      <c r="H3517" s="144">
        <f>VLOOKUP(D3517,Bahan,6,FALSE)</f>
        <v>1880</v>
      </c>
      <c r="I3517" s="126">
        <f>G3517*H3517</f>
        <v>11919.199999999999</v>
      </c>
    </row>
    <row r="3518" spans="2:10" ht="15.95" customHeight="1" thickBot="1" x14ac:dyDescent="0.3">
      <c r="C3518" s="122"/>
      <c r="D3518" s="117" t="s">
        <v>493</v>
      </c>
      <c r="E3518" s="118"/>
      <c r="F3518" s="123" t="s">
        <v>158</v>
      </c>
      <c r="G3518" s="124">
        <v>1.2E-2</v>
      </c>
      <c r="H3518" s="144">
        <f>VLOOKUP(D3518,Bahan,6,FALSE)</f>
        <v>253510</v>
      </c>
      <c r="I3518" s="126">
        <f>G3518*H3518</f>
        <v>3042.12</v>
      </c>
    </row>
    <row r="3519" spans="2:10" ht="15.95" customHeight="1" thickBot="1" x14ac:dyDescent="0.3">
      <c r="C3519" s="132"/>
      <c r="D3519" s="133"/>
      <c r="E3519" s="134"/>
      <c r="F3519" s="134"/>
      <c r="G3519" s="135" t="s">
        <v>386</v>
      </c>
      <c r="H3519" s="136"/>
      <c r="I3519" s="137">
        <f>SUM(I3517:I3518)</f>
        <v>14961.32</v>
      </c>
    </row>
    <row r="3520" spans="2:10" ht="15.95" customHeight="1" thickBot="1" x14ac:dyDescent="0.3">
      <c r="C3520" s="116" t="s">
        <v>387</v>
      </c>
      <c r="D3520" s="117" t="s">
        <v>388</v>
      </c>
      <c r="E3520" s="118"/>
      <c r="F3520" s="118"/>
      <c r="G3520" s="165"/>
      <c r="H3520" s="144">
        <f>IF(AND(D3520&lt;&gt;"",F3520&lt;&gt;""),IF(C3520="",IF(F3520="OH",VLOOKUP(D3520,[1]UPAH!$B$3:$G$32,7,0),VLOOKUP(D3520,[1]BAHAN!$A$2:$D$3,4,0)),0),0)</f>
        <v>0</v>
      </c>
      <c r="I3520" s="126">
        <f>G3520*H3520</f>
        <v>0</v>
      </c>
    </row>
    <row r="3521" spans="2:10" ht="15.95" customHeight="1" thickBot="1" x14ac:dyDescent="0.3">
      <c r="C3521" s="132"/>
      <c r="D3521" s="133"/>
      <c r="E3521" s="134"/>
      <c r="F3521" s="134"/>
      <c r="G3521" s="135" t="s">
        <v>389</v>
      </c>
      <c r="H3521" s="136"/>
      <c r="I3521" s="137">
        <f>I3520</f>
        <v>0</v>
      </c>
    </row>
    <row r="3522" spans="2:10" ht="15.95" customHeight="1" x14ac:dyDescent="0.25">
      <c r="C3522" s="158" t="s">
        <v>390</v>
      </c>
      <c r="D3522" s="159" t="s">
        <v>391</v>
      </c>
      <c r="E3522" s="160"/>
      <c r="F3522" s="160"/>
      <c r="G3522" s="161"/>
      <c r="H3522" s="162">
        <f>IF(AND(D3522&lt;&gt;"",F3522&lt;&gt;""),IF(C3522="",IF(F3522="OH",VLOOKUP(D3522,[1]UPAH!$B$3:$G$32,7,0),VLOOKUP(D3522,[1]BAHAN!$A$2:$D$3,4,0)),0),0)</f>
        <v>0</v>
      </c>
      <c r="I3522" s="126">
        <f>SUM(I3511:I3521)/2</f>
        <v>79986.320000000007</v>
      </c>
    </row>
    <row r="3523" spans="2:10" ht="15.95" customHeight="1" thickBot="1" x14ac:dyDescent="0.3">
      <c r="C3523" s="147" t="s">
        <v>392</v>
      </c>
      <c r="D3523" s="148" t="s">
        <v>393</v>
      </c>
      <c r="E3523" s="149"/>
      <c r="F3523" s="149"/>
      <c r="G3523" s="164">
        <v>0.1</v>
      </c>
      <c r="H3523" s="151"/>
      <c r="I3523" s="146">
        <f>G3523*I3522</f>
        <v>7998.6320000000014</v>
      </c>
    </row>
    <row r="3524" spans="2:10" ht="15.95" customHeight="1" thickBot="1" x14ac:dyDescent="0.3">
      <c r="C3524" s="111" t="s">
        <v>394</v>
      </c>
      <c r="D3524" s="112" t="s">
        <v>395</v>
      </c>
      <c r="E3524" s="134"/>
      <c r="F3524" s="134"/>
      <c r="G3524" s="156"/>
      <c r="H3524" s="136">
        <f>IF(AND(D3524&lt;&gt;"",F3524&lt;&gt;""),IF(C3524="",IF(F3524="OH",VLOOKUP(D3524,[1]UPAH!$B$3:$G$32,7,0),VLOOKUP(D3524,[1]BAHAN!$A$2:$D$3,4,0)),0),0)</f>
        <v>0</v>
      </c>
      <c r="I3524" s="137">
        <f>ROUNDDOWN(I3522+I3523,0)</f>
        <v>87984</v>
      </c>
    </row>
    <row r="3525" spans="2:10" ht="15.95" customHeight="1" x14ac:dyDescent="0.25">
      <c r="C3525" s="109"/>
      <c r="D3525" s="109"/>
      <c r="G3525" s="157"/>
    </row>
    <row r="3526" spans="2:10" ht="15.95" customHeight="1" thickBot="1" x14ac:dyDescent="0.3">
      <c r="B3526" s="247" t="s">
        <v>938</v>
      </c>
      <c r="C3526" s="104" t="s">
        <v>939</v>
      </c>
      <c r="G3526" s="157"/>
      <c r="J3526" s="110">
        <f>I3541</f>
        <v>54406</v>
      </c>
    </row>
    <row r="3527" spans="2:10" ht="15.95" customHeight="1" thickBot="1" x14ac:dyDescent="0.3">
      <c r="C3527" s="111" t="s">
        <v>328</v>
      </c>
      <c r="D3527" s="112" t="s">
        <v>359</v>
      </c>
      <c r="E3527" s="113" t="s">
        <v>360</v>
      </c>
      <c r="F3527" s="113" t="s">
        <v>330</v>
      </c>
      <c r="G3527" s="114" t="s">
        <v>361</v>
      </c>
      <c r="H3527" s="112" t="s">
        <v>362</v>
      </c>
      <c r="I3527" s="115" t="s">
        <v>363</v>
      </c>
    </row>
    <row r="3528" spans="2:10" ht="15.95" customHeight="1" x14ac:dyDescent="0.25">
      <c r="C3528" s="116" t="s">
        <v>364</v>
      </c>
      <c r="D3528" s="117" t="s">
        <v>365</v>
      </c>
      <c r="E3528" s="118"/>
      <c r="F3528" s="118"/>
      <c r="G3528" s="165"/>
      <c r="H3528" s="144"/>
      <c r="I3528" s="126"/>
    </row>
    <row r="3529" spans="2:10" ht="15.95" customHeight="1" x14ac:dyDescent="0.25">
      <c r="C3529" s="122"/>
      <c r="D3529" s="117" t="s">
        <v>366</v>
      </c>
      <c r="E3529" s="123" t="s">
        <v>367</v>
      </c>
      <c r="F3529" s="123" t="s">
        <v>368</v>
      </c>
      <c r="G3529" s="124">
        <v>0.2</v>
      </c>
      <c r="H3529" s="125">
        <f>VLOOKUP(D3529,Upah,8,FALSE)</f>
        <v>125000</v>
      </c>
      <c r="I3529" s="126">
        <f>G3529*H3529</f>
        <v>25000</v>
      </c>
    </row>
    <row r="3530" spans="2:10" ht="15.95" customHeight="1" x14ac:dyDescent="0.25">
      <c r="C3530" s="122"/>
      <c r="D3530" s="117" t="s">
        <v>505</v>
      </c>
      <c r="E3530" s="123" t="s">
        <v>414</v>
      </c>
      <c r="F3530" s="123" t="s">
        <v>368</v>
      </c>
      <c r="G3530" s="124">
        <v>0.1</v>
      </c>
      <c r="H3530" s="125">
        <f>VLOOKUP(D3530,Upah,8,FALSE)</f>
        <v>150000</v>
      </c>
      <c r="I3530" s="126">
        <f>G3530*H3530</f>
        <v>15000</v>
      </c>
    </row>
    <row r="3531" spans="2:10" ht="15.95" customHeight="1" x14ac:dyDescent="0.25">
      <c r="C3531" s="122"/>
      <c r="D3531" s="117" t="s">
        <v>371</v>
      </c>
      <c r="E3531" s="123" t="s">
        <v>372</v>
      </c>
      <c r="F3531" s="123" t="s">
        <v>368</v>
      </c>
      <c r="G3531" s="124">
        <v>0.01</v>
      </c>
      <c r="H3531" s="125">
        <f>VLOOKUP(D3531,Upah,8,FALSE)</f>
        <v>165000</v>
      </c>
      <c r="I3531" s="126">
        <f>G3531*H3531</f>
        <v>1650</v>
      </c>
    </row>
    <row r="3532" spans="2:10" ht="15.95" customHeight="1" thickBot="1" x14ac:dyDescent="0.3">
      <c r="C3532" s="122"/>
      <c r="D3532" s="117" t="s">
        <v>373</v>
      </c>
      <c r="E3532" s="123" t="s">
        <v>374</v>
      </c>
      <c r="F3532" s="123" t="s">
        <v>368</v>
      </c>
      <c r="G3532" s="124">
        <v>0.01</v>
      </c>
      <c r="H3532" s="125">
        <f>VLOOKUP(D3532,Upah,8,FALSE)</f>
        <v>170000</v>
      </c>
      <c r="I3532" s="126">
        <f>G3532*H3532</f>
        <v>1700</v>
      </c>
    </row>
    <row r="3533" spans="2:10" ht="15.95" customHeight="1" thickBot="1" x14ac:dyDescent="0.3">
      <c r="C3533" s="132"/>
      <c r="D3533" s="133"/>
      <c r="E3533" s="134"/>
      <c r="F3533" s="134"/>
      <c r="G3533" s="135" t="s">
        <v>375</v>
      </c>
      <c r="H3533" s="136"/>
      <c r="I3533" s="137">
        <f>SUM(I3529:I3532)</f>
        <v>43350</v>
      </c>
    </row>
    <row r="3534" spans="2:10" ht="15.95" customHeight="1" x14ac:dyDescent="0.25">
      <c r="C3534" s="116" t="s">
        <v>376</v>
      </c>
      <c r="D3534" s="117" t="s">
        <v>377</v>
      </c>
      <c r="E3534" s="118"/>
      <c r="F3534" s="118"/>
      <c r="G3534" s="165"/>
      <c r="H3534" s="144"/>
      <c r="I3534" s="126"/>
    </row>
    <row r="3535" spans="2:10" ht="15.95" customHeight="1" thickBot="1" x14ac:dyDescent="0.3">
      <c r="C3535" s="122"/>
      <c r="D3535" s="117" t="s">
        <v>380</v>
      </c>
      <c r="E3535" s="118"/>
      <c r="F3535" s="123" t="s">
        <v>159</v>
      </c>
      <c r="G3535" s="124">
        <v>3.25</v>
      </c>
      <c r="H3535" s="144">
        <f>VLOOKUP(D3535,Bahan,6,FALSE)</f>
        <v>1880</v>
      </c>
      <c r="I3535" s="126">
        <f>G3535*H3535</f>
        <v>6110</v>
      </c>
    </row>
    <row r="3536" spans="2:10" ht="15.95" customHeight="1" thickBot="1" x14ac:dyDescent="0.3">
      <c r="C3536" s="132"/>
      <c r="D3536" s="133"/>
      <c r="E3536" s="134"/>
      <c r="F3536" s="134"/>
      <c r="G3536" s="135" t="s">
        <v>386</v>
      </c>
      <c r="H3536" s="136"/>
      <c r="I3536" s="137">
        <f>SUM(I3535)</f>
        <v>6110</v>
      </c>
    </row>
    <row r="3537" spans="2:10" ht="15.95" customHeight="1" thickBot="1" x14ac:dyDescent="0.3">
      <c r="C3537" s="116" t="s">
        <v>387</v>
      </c>
      <c r="D3537" s="117" t="s">
        <v>388</v>
      </c>
      <c r="E3537" s="118"/>
      <c r="F3537" s="118"/>
      <c r="G3537" s="165"/>
      <c r="H3537" s="144">
        <f>IF(AND(D3537&lt;&gt;"",F3537&lt;&gt;""),IF(C3537="",IF(F3537="OH",VLOOKUP(D3537,[1]UPAH!$B$3:$G$32,7,0),VLOOKUP(D3537,[1]BAHAN!$A$2:$D$3,4,0)),0),0)</f>
        <v>0</v>
      </c>
      <c r="I3537" s="126">
        <f>G3537*H3537</f>
        <v>0</v>
      </c>
    </row>
    <row r="3538" spans="2:10" ht="15.95" customHeight="1" thickBot="1" x14ac:dyDescent="0.3">
      <c r="C3538" s="132"/>
      <c r="D3538" s="133"/>
      <c r="E3538" s="134"/>
      <c r="F3538" s="134"/>
      <c r="G3538" s="135" t="s">
        <v>389</v>
      </c>
      <c r="H3538" s="136"/>
      <c r="I3538" s="137">
        <f>I3537</f>
        <v>0</v>
      </c>
    </row>
    <row r="3539" spans="2:10" ht="15.95" customHeight="1" x14ac:dyDescent="0.25">
      <c r="C3539" s="158" t="s">
        <v>390</v>
      </c>
      <c r="D3539" s="159" t="s">
        <v>391</v>
      </c>
      <c r="E3539" s="160"/>
      <c r="F3539" s="160"/>
      <c r="G3539" s="161"/>
      <c r="H3539" s="162">
        <f>IF(AND(D3539&lt;&gt;"",F3539&lt;&gt;""),IF(C3539="",IF(F3539="OH",VLOOKUP(D3539,[1]UPAH!$B$3:$G$32,7,0),VLOOKUP(D3539,[1]BAHAN!$A$2:$D$3,4,0)),0),0)</f>
        <v>0</v>
      </c>
      <c r="I3539" s="126">
        <f>SUM(I3528:I3538)/2</f>
        <v>49460</v>
      </c>
    </row>
    <row r="3540" spans="2:10" ht="15.95" customHeight="1" thickBot="1" x14ac:dyDescent="0.3">
      <c r="C3540" s="147" t="s">
        <v>392</v>
      </c>
      <c r="D3540" s="148" t="s">
        <v>393</v>
      </c>
      <c r="E3540" s="149"/>
      <c r="F3540" s="149"/>
      <c r="G3540" s="164">
        <v>0.1</v>
      </c>
      <c r="H3540" s="151"/>
      <c r="I3540" s="146">
        <f>G3540*I3539</f>
        <v>4946</v>
      </c>
    </row>
    <row r="3541" spans="2:10" ht="15.95" customHeight="1" thickBot="1" x14ac:dyDescent="0.3">
      <c r="C3541" s="111" t="s">
        <v>394</v>
      </c>
      <c r="D3541" s="112" t="s">
        <v>395</v>
      </c>
      <c r="E3541" s="134"/>
      <c r="F3541" s="134"/>
      <c r="G3541" s="156"/>
      <c r="H3541" s="136">
        <f>IF(AND(D3541&lt;&gt;"",F3541&lt;&gt;""),IF(C3541="",IF(F3541="OH",VLOOKUP(D3541,[1]UPAH!$B$3:$G$32,7,0),VLOOKUP(D3541,[1]BAHAN!$A$2:$D$3,4,0)),0),0)</f>
        <v>0</v>
      </c>
      <c r="I3541" s="137">
        <f>ROUNDDOWN(I3539+I3540,0)</f>
        <v>54406</v>
      </c>
    </row>
    <row r="3542" spans="2:10" ht="15.95" customHeight="1" x14ac:dyDescent="0.25">
      <c r="C3542" s="109"/>
      <c r="D3542" s="109"/>
      <c r="G3542" s="157"/>
      <c r="H3542" s="166"/>
      <c r="I3542" s="110"/>
    </row>
    <row r="3543" spans="2:10" ht="15.95" customHeight="1" thickBot="1" x14ac:dyDescent="0.3">
      <c r="B3543" s="109" t="s">
        <v>940</v>
      </c>
      <c r="C3543" s="109" t="s">
        <v>941</v>
      </c>
      <c r="D3543" s="109"/>
      <c r="G3543" s="157"/>
      <c r="H3543" s="166"/>
      <c r="I3543" s="110"/>
      <c r="J3543" s="110">
        <f>I3558</f>
        <v>112535</v>
      </c>
    </row>
    <row r="3544" spans="2:10" ht="15.95" customHeight="1" thickBot="1" x14ac:dyDescent="0.3">
      <c r="C3544" s="111" t="s">
        <v>328</v>
      </c>
      <c r="D3544" s="112" t="s">
        <v>359</v>
      </c>
      <c r="E3544" s="113" t="s">
        <v>360</v>
      </c>
      <c r="F3544" s="113" t="s">
        <v>330</v>
      </c>
      <c r="G3544" s="114" t="s">
        <v>361</v>
      </c>
      <c r="H3544" s="112" t="s">
        <v>362</v>
      </c>
      <c r="I3544" s="115" t="s">
        <v>363</v>
      </c>
    </row>
    <row r="3545" spans="2:10" ht="15.95" customHeight="1" x14ac:dyDescent="0.25">
      <c r="C3545" s="116" t="s">
        <v>364</v>
      </c>
      <c r="D3545" s="117" t="s">
        <v>365</v>
      </c>
      <c r="E3545" s="118"/>
      <c r="F3545" s="118"/>
      <c r="G3545" s="165"/>
      <c r="H3545" s="144"/>
      <c r="I3545" s="126"/>
    </row>
    <row r="3546" spans="2:10" ht="15.95" customHeight="1" x14ac:dyDescent="0.25">
      <c r="C3546" s="122"/>
      <c r="D3546" s="117" t="s">
        <v>366</v>
      </c>
      <c r="E3546" s="123" t="s">
        <v>367</v>
      </c>
      <c r="F3546" s="123" t="s">
        <v>368</v>
      </c>
      <c r="G3546" s="124">
        <v>0.3</v>
      </c>
      <c r="H3546" s="125">
        <f>VLOOKUP(D3546,Upah,8,FALSE)</f>
        <v>125000</v>
      </c>
      <c r="I3546" s="126">
        <f>G3546*H3546</f>
        <v>37500</v>
      </c>
    </row>
    <row r="3547" spans="2:10" ht="15.95" customHeight="1" x14ac:dyDescent="0.25">
      <c r="C3547" s="122"/>
      <c r="D3547" s="117" t="s">
        <v>505</v>
      </c>
      <c r="E3547" s="123" t="s">
        <v>414</v>
      </c>
      <c r="F3547" s="123" t="s">
        <v>368</v>
      </c>
      <c r="G3547" s="124">
        <v>0.15</v>
      </c>
      <c r="H3547" s="125">
        <f>VLOOKUP(D3547,Upah,8,FALSE)</f>
        <v>150000</v>
      </c>
      <c r="I3547" s="126">
        <f>G3547*H3547</f>
        <v>22500</v>
      </c>
    </row>
    <row r="3548" spans="2:10" ht="15.95" customHeight="1" x14ac:dyDescent="0.25">
      <c r="C3548" s="122"/>
      <c r="D3548" s="117" t="s">
        <v>371</v>
      </c>
      <c r="E3548" s="123" t="s">
        <v>372</v>
      </c>
      <c r="F3548" s="123" t="s">
        <v>368</v>
      </c>
      <c r="G3548" s="124">
        <v>1.4999999999999999E-2</v>
      </c>
      <c r="H3548" s="125">
        <f>VLOOKUP(D3548,Upah,8,FALSE)</f>
        <v>165000</v>
      </c>
      <c r="I3548" s="126">
        <f>G3548*H3548</f>
        <v>2475</v>
      </c>
    </row>
    <row r="3549" spans="2:10" ht="15.95" customHeight="1" thickBot="1" x14ac:dyDescent="0.3">
      <c r="C3549" s="122"/>
      <c r="D3549" s="117" t="s">
        <v>373</v>
      </c>
      <c r="E3549" s="123" t="s">
        <v>374</v>
      </c>
      <c r="F3549" s="123" t="s">
        <v>368</v>
      </c>
      <c r="G3549" s="124">
        <v>1.4999999999999999E-2</v>
      </c>
      <c r="H3549" s="125">
        <f>VLOOKUP(D3549,Upah,8,FALSE)</f>
        <v>170000</v>
      </c>
      <c r="I3549" s="126">
        <f>G3549*H3549</f>
        <v>2550</v>
      </c>
    </row>
    <row r="3550" spans="2:10" ht="15.95" customHeight="1" thickBot="1" x14ac:dyDescent="0.3">
      <c r="C3550" s="132"/>
      <c r="D3550" s="133"/>
      <c r="E3550" s="134"/>
      <c r="F3550" s="134"/>
      <c r="G3550" s="135" t="s">
        <v>375</v>
      </c>
      <c r="H3550" s="136"/>
      <c r="I3550" s="137">
        <f>SUM(I3546:I3549)</f>
        <v>65025</v>
      </c>
    </row>
    <row r="3551" spans="2:10" ht="15.95" customHeight="1" x14ac:dyDescent="0.25">
      <c r="C3551" s="116" t="s">
        <v>376</v>
      </c>
      <c r="D3551" s="117" t="s">
        <v>377</v>
      </c>
      <c r="E3551" s="118"/>
      <c r="F3551" s="118"/>
      <c r="G3551" s="165"/>
      <c r="H3551" s="144"/>
      <c r="I3551" s="126"/>
    </row>
    <row r="3552" spans="2:10" ht="15.95" customHeight="1" thickBot="1" x14ac:dyDescent="0.3">
      <c r="C3552" s="122"/>
      <c r="D3552" s="117" t="s">
        <v>942</v>
      </c>
      <c r="E3552" s="118"/>
      <c r="F3552" s="123" t="s">
        <v>159</v>
      </c>
      <c r="G3552" s="124">
        <f>0.4*40</f>
        <v>16</v>
      </c>
      <c r="H3552" s="144">
        <f>VLOOKUP(D3552,Bahan,6,FALSE)</f>
        <v>2330</v>
      </c>
      <c r="I3552" s="126">
        <f>G3552*H3552</f>
        <v>37280</v>
      </c>
    </row>
    <row r="3553" spans="2:10" ht="15.95" customHeight="1" thickBot="1" x14ac:dyDescent="0.3">
      <c r="C3553" s="132"/>
      <c r="D3553" s="133"/>
      <c r="E3553" s="134"/>
      <c r="F3553" s="134"/>
      <c r="G3553" s="135" t="s">
        <v>386</v>
      </c>
      <c r="H3553" s="136"/>
      <c r="I3553" s="137">
        <f>SUM(I3552)</f>
        <v>37280</v>
      </c>
    </row>
    <row r="3554" spans="2:10" ht="15.95" customHeight="1" thickBot="1" x14ac:dyDescent="0.3">
      <c r="C3554" s="116" t="s">
        <v>387</v>
      </c>
      <c r="D3554" s="117" t="s">
        <v>388</v>
      </c>
      <c r="E3554" s="118"/>
      <c r="F3554" s="118"/>
      <c r="G3554" s="165"/>
      <c r="H3554" s="144">
        <f>IF(AND(D3554&lt;&gt;"",F3554&lt;&gt;""),IF(C3554="",IF(F3554="OH",VLOOKUP(D3554,[1]UPAH!$B$3:$G$32,7,0),VLOOKUP(D3554,[1]BAHAN!$A$2:$D$3,4,0)),0),0)</f>
        <v>0</v>
      </c>
      <c r="I3554" s="126">
        <f>G3554*H3554</f>
        <v>0</v>
      </c>
    </row>
    <row r="3555" spans="2:10" ht="15.95" customHeight="1" thickBot="1" x14ac:dyDescent="0.3">
      <c r="C3555" s="132"/>
      <c r="D3555" s="133"/>
      <c r="E3555" s="134"/>
      <c r="F3555" s="134"/>
      <c r="G3555" s="135" t="s">
        <v>389</v>
      </c>
      <c r="H3555" s="136"/>
      <c r="I3555" s="137">
        <f>I3554</f>
        <v>0</v>
      </c>
    </row>
    <row r="3556" spans="2:10" ht="15.95" customHeight="1" x14ac:dyDescent="0.25">
      <c r="C3556" s="158" t="s">
        <v>390</v>
      </c>
      <c r="D3556" s="159" t="s">
        <v>391</v>
      </c>
      <c r="E3556" s="160"/>
      <c r="F3556" s="160"/>
      <c r="G3556" s="161"/>
      <c r="H3556" s="162">
        <f>IF(AND(D3556&lt;&gt;"",F3556&lt;&gt;""),IF(C3556="",IF(F3556="OH",VLOOKUP(D3556,[1]UPAH!$B$3:$G$32,7,0),VLOOKUP(D3556,[1]BAHAN!$A$2:$D$3,4,0)),0),0)</f>
        <v>0</v>
      </c>
      <c r="I3556" s="126">
        <f>SUM(I3545:I3555)/2</f>
        <v>102305</v>
      </c>
    </row>
    <row r="3557" spans="2:10" ht="15.95" customHeight="1" thickBot="1" x14ac:dyDescent="0.3">
      <c r="C3557" s="147" t="s">
        <v>392</v>
      </c>
      <c r="D3557" s="148" t="s">
        <v>393</v>
      </c>
      <c r="E3557" s="149"/>
      <c r="F3557" s="149"/>
      <c r="G3557" s="164">
        <v>0.1</v>
      </c>
      <c r="H3557" s="151"/>
      <c r="I3557" s="146">
        <f>G3557*I3556</f>
        <v>10230.5</v>
      </c>
    </row>
    <row r="3558" spans="2:10" ht="15.95" customHeight="1" thickBot="1" x14ac:dyDescent="0.3">
      <c r="C3558" s="111" t="s">
        <v>394</v>
      </c>
      <c r="D3558" s="112" t="s">
        <v>395</v>
      </c>
      <c r="E3558" s="134"/>
      <c r="F3558" s="134"/>
      <c r="G3558" s="156"/>
      <c r="H3558" s="136">
        <f>IF(AND(D3558&lt;&gt;"",F3558&lt;&gt;""),IF(C3558="",IF(F3558="OH",VLOOKUP(D3558,[1]UPAH!$B$3:$G$32,7,0),VLOOKUP(D3558,[1]BAHAN!$A$2:$D$3,4,0)),0),0)</f>
        <v>0</v>
      </c>
      <c r="I3558" s="137">
        <f>ROUNDDOWN(I3556+I3557,0)</f>
        <v>112535</v>
      </c>
    </row>
    <row r="3559" spans="2:10" ht="15.95" customHeight="1" x14ac:dyDescent="0.25">
      <c r="C3559" s="109"/>
      <c r="D3559" s="109"/>
      <c r="G3559" s="157"/>
      <c r="H3559" s="166"/>
      <c r="I3559" s="110"/>
    </row>
    <row r="3560" spans="2:10" ht="15.95" customHeight="1" thickBot="1" x14ac:dyDescent="0.3">
      <c r="B3560" s="109" t="s">
        <v>943</v>
      </c>
      <c r="C3560" s="109" t="s">
        <v>944</v>
      </c>
      <c r="D3560" s="109"/>
      <c r="G3560" s="157"/>
      <c r="H3560" s="166"/>
      <c r="I3560" s="110"/>
      <c r="J3560" s="110">
        <f>I3575</f>
        <v>56911</v>
      </c>
    </row>
    <row r="3561" spans="2:10" ht="15.95" customHeight="1" thickBot="1" x14ac:dyDescent="0.3">
      <c r="C3561" s="111" t="s">
        <v>328</v>
      </c>
      <c r="D3561" s="112" t="s">
        <v>359</v>
      </c>
      <c r="E3561" s="113" t="s">
        <v>360</v>
      </c>
      <c r="F3561" s="113" t="s">
        <v>330</v>
      </c>
      <c r="G3561" s="114" t="s">
        <v>361</v>
      </c>
      <c r="H3561" s="112" t="s">
        <v>362</v>
      </c>
      <c r="I3561" s="115" t="s">
        <v>363</v>
      </c>
    </row>
    <row r="3562" spans="2:10" ht="15.95" customHeight="1" x14ac:dyDescent="0.25">
      <c r="C3562" s="116" t="s">
        <v>364</v>
      </c>
      <c r="D3562" s="117" t="s">
        <v>365</v>
      </c>
      <c r="E3562" s="118"/>
      <c r="F3562" s="118"/>
      <c r="G3562" s="165"/>
      <c r="H3562" s="144"/>
      <c r="I3562" s="126"/>
    </row>
    <row r="3563" spans="2:10" ht="15.95" customHeight="1" x14ac:dyDescent="0.25">
      <c r="C3563" s="122"/>
      <c r="D3563" s="117" t="s">
        <v>366</v>
      </c>
      <c r="E3563" s="123" t="s">
        <v>367</v>
      </c>
      <c r="F3563" s="123" t="s">
        <v>368</v>
      </c>
      <c r="G3563" s="124">
        <v>0.2</v>
      </c>
      <c r="H3563" s="125">
        <f>VLOOKUP(D3563,Upah,8,FALSE)</f>
        <v>125000</v>
      </c>
      <c r="I3563" s="126">
        <f>G3563*H3563</f>
        <v>25000</v>
      </c>
    </row>
    <row r="3564" spans="2:10" ht="15.95" customHeight="1" x14ac:dyDescent="0.25">
      <c r="C3564" s="122"/>
      <c r="D3564" s="117" t="s">
        <v>505</v>
      </c>
      <c r="E3564" s="123" t="s">
        <v>414</v>
      </c>
      <c r="F3564" s="123" t="s">
        <v>368</v>
      </c>
      <c r="G3564" s="124">
        <v>0.1</v>
      </c>
      <c r="H3564" s="125">
        <f>VLOOKUP(D3564,Upah,8,FALSE)</f>
        <v>150000</v>
      </c>
      <c r="I3564" s="126">
        <f>G3564*H3564</f>
        <v>15000</v>
      </c>
    </row>
    <row r="3565" spans="2:10" ht="15.95" customHeight="1" x14ac:dyDescent="0.25">
      <c r="C3565" s="122"/>
      <c r="D3565" s="117" t="s">
        <v>371</v>
      </c>
      <c r="E3565" s="123" t="s">
        <v>372</v>
      </c>
      <c r="F3565" s="123" t="s">
        <v>368</v>
      </c>
      <c r="G3565" s="124">
        <v>0.01</v>
      </c>
      <c r="H3565" s="125">
        <f>VLOOKUP(D3565,Upah,8,FALSE)</f>
        <v>165000</v>
      </c>
      <c r="I3565" s="126">
        <f>G3565*H3565</f>
        <v>1650</v>
      </c>
    </row>
    <row r="3566" spans="2:10" ht="15.95" customHeight="1" thickBot="1" x14ac:dyDescent="0.3">
      <c r="C3566" s="122"/>
      <c r="D3566" s="117" t="s">
        <v>373</v>
      </c>
      <c r="E3566" s="123" t="s">
        <v>374</v>
      </c>
      <c r="F3566" s="123" t="s">
        <v>368</v>
      </c>
      <c r="G3566" s="124">
        <v>0.01</v>
      </c>
      <c r="H3566" s="125">
        <f>VLOOKUP(D3566,Upah,8,FALSE)</f>
        <v>170000</v>
      </c>
      <c r="I3566" s="126">
        <f>G3566*H3566</f>
        <v>1700</v>
      </c>
    </row>
    <row r="3567" spans="2:10" ht="15.95" customHeight="1" thickBot="1" x14ac:dyDescent="0.3">
      <c r="C3567" s="132"/>
      <c r="D3567" s="133"/>
      <c r="E3567" s="134"/>
      <c r="F3567" s="134"/>
      <c r="G3567" s="135" t="s">
        <v>375</v>
      </c>
      <c r="H3567" s="136"/>
      <c r="I3567" s="137">
        <f>SUM(I3563:I3566)</f>
        <v>43350</v>
      </c>
    </row>
    <row r="3568" spans="2:10" ht="15.95" customHeight="1" x14ac:dyDescent="0.25">
      <c r="C3568" s="116" t="s">
        <v>376</v>
      </c>
      <c r="D3568" s="117" t="s">
        <v>377</v>
      </c>
      <c r="E3568" s="118"/>
      <c r="F3568" s="118"/>
      <c r="G3568" s="165"/>
      <c r="H3568" s="144"/>
      <c r="I3568" s="126"/>
    </row>
    <row r="3569" spans="1:10" ht="15.95" customHeight="1" thickBot="1" x14ac:dyDescent="0.3">
      <c r="C3569" s="122"/>
      <c r="D3569" s="117" t="s">
        <v>945</v>
      </c>
      <c r="E3569" s="118"/>
      <c r="F3569" s="123" t="s">
        <v>159</v>
      </c>
      <c r="G3569" s="124">
        <f>0.09*40</f>
        <v>3.5999999999999996</v>
      </c>
      <c r="H3569" s="144">
        <f>VLOOKUP(D3569,Bahan,6,FALSE)</f>
        <v>2330</v>
      </c>
      <c r="I3569" s="126">
        <f>G3569*H3569</f>
        <v>8388</v>
      </c>
    </row>
    <row r="3570" spans="1:10" ht="15.95" customHeight="1" thickBot="1" x14ac:dyDescent="0.3">
      <c r="C3570" s="132"/>
      <c r="D3570" s="133"/>
      <c r="E3570" s="134"/>
      <c r="F3570" s="134"/>
      <c r="G3570" s="135" t="s">
        <v>386</v>
      </c>
      <c r="H3570" s="136"/>
      <c r="I3570" s="137">
        <f>SUM(I3569)</f>
        <v>8388</v>
      </c>
    </row>
    <row r="3571" spans="1:10" ht="15.95" customHeight="1" thickBot="1" x14ac:dyDescent="0.3">
      <c r="C3571" s="116" t="s">
        <v>387</v>
      </c>
      <c r="D3571" s="117" t="s">
        <v>388</v>
      </c>
      <c r="E3571" s="118"/>
      <c r="F3571" s="118"/>
      <c r="G3571" s="165"/>
      <c r="H3571" s="144">
        <f>IF(AND(D3571&lt;&gt;"",F3571&lt;&gt;""),IF(C3571="",IF(F3571="OH",VLOOKUP(D3571,[1]UPAH!$B$3:$G$32,7,0),VLOOKUP(D3571,[1]BAHAN!$A$2:$D$3,4,0)),0),0)</f>
        <v>0</v>
      </c>
      <c r="I3571" s="126">
        <f>G3571*H3571</f>
        <v>0</v>
      </c>
    </row>
    <row r="3572" spans="1:10" ht="15.95" customHeight="1" thickBot="1" x14ac:dyDescent="0.3">
      <c r="C3572" s="132"/>
      <c r="D3572" s="133"/>
      <c r="E3572" s="134"/>
      <c r="F3572" s="134"/>
      <c r="G3572" s="135" t="s">
        <v>389</v>
      </c>
      <c r="H3572" s="136"/>
      <c r="I3572" s="137">
        <f>I3571</f>
        <v>0</v>
      </c>
    </row>
    <row r="3573" spans="1:10" ht="15.95" customHeight="1" x14ac:dyDescent="0.25">
      <c r="C3573" s="158" t="s">
        <v>390</v>
      </c>
      <c r="D3573" s="159" t="s">
        <v>391</v>
      </c>
      <c r="E3573" s="160"/>
      <c r="F3573" s="160"/>
      <c r="G3573" s="161"/>
      <c r="H3573" s="162">
        <f>IF(AND(D3573&lt;&gt;"",F3573&lt;&gt;""),IF(C3573="",IF(F3573="OH",VLOOKUP(D3573,[1]UPAH!$B$3:$G$32,7,0),VLOOKUP(D3573,[1]BAHAN!$A$2:$D$3,4,0)),0),0)</f>
        <v>0</v>
      </c>
      <c r="I3573" s="126">
        <f>SUM(I3562:I3572)/2</f>
        <v>51738</v>
      </c>
    </row>
    <row r="3574" spans="1:10" ht="15.95" customHeight="1" thickBot="1" x14ac:dyDescent="0.3">
      <c r="C3574" s="147" t="s">
        <v>392</v>
      </c>
      <c r="D3574" s="148" t="s">
        <v>393</v>
      </c>
      <c r="E3574" s="149"/>
      <c r="F3574" s="149"/>
      <c r="G3574" s="164">
        <v>0.1</v>
      </c>
      <c r="H3574" s="151"/>
      <c r="I3574" s="146">
        <f>G3574*I3573</f>
        <v>5173.8</v>
      </c>
    </row>
    <row r="3575" spans="1:10" ht="15.95" customHeight="1" thickBot="1" x14ac:dyDescent="0.3">
      <c r="C3575" s="111" t="s">
        <v>394</v>
      </c>
      <c r="D3575" s="112" t="s">
        <v>395</v>
      </c>
      <c r="E3575" s="134"/>
      <c r="F3575" s="134"/>
      <c r="G3575" s="156"/>
      <c r="H3575" s="136">
        <f>IF(AND(D3575&lt;&gt;"",F3575&lt;&gt;""),IF(C3575="",IF(F3575="OH",VLOOKUP(D3575,[1]UPAH!$B$3:$G$32,7,0),VLOOKUP(D3575,[1]BAHAN!$A$2:$D$3,4,0)),0),0)</f>
        <v>0</v>
      </c>
      <c r="I3575" s="137">
        <f>ROUNDDOWN(I3573+I3574,0)</f>
        <v>56911</v>
      </c>
    </row>
    <row r="3576" spans="1:10" ht="15.95" customHeight="1" x14ac:dyDescent="0.25">
      <c r="C3576" s="109"/>
      <c r="D3576" s="109"/>
      <c r="G3576" s="157"/>
      <c r="H3576" s="166"/>
      <c r="I3576" s="110"/>
    </row>
    <row r="3577" spans="1:10" ht="15.95" customHeight="1" x14ac:dyDescent="0.25">
      <c r="A3577" s="167" t="s">
        <v>946</v>
      </c>
      <c r="B3577" s="168" t="s">
        <v>947</v>
      </c>
      <c r="G3577" s="157"/>
    </row>
    <row r="3578" spans="1:10" ht="15.95" customHeight="1" thickBot="1" x14ac:dyDescent="0.3">
      <c r="B3578" s="109" t="s">
        <v>948</v>
      </c>
      <c r="C3578" s="104" t="s">
        <v>949</v>
      </c>
      <c r="G3578" s="157"/>
      <c r="J3578" s="110">
        <f>I3595</f>
        <v>146427</v>
      </c>
    </row>
    <row r="3579" spans="1:10" ht="15.95" customHeight="1" thickBot="1" x14ac:dyDescent="0.3">
      <c r="C3579" s="111" t="s">
        <v>328</v>
      </c>
      <c r="D3579" s="112" t="s">
        <v>359</v>
      </c>
      <c r="E3579" s="113" t="s">
        <v>360</v>
      </c>
      <c r="F3579" s="113" t="s">
        <v>330</v>
      </c>
      <c r="G3579" s="114" t="s">
        <v>361</v>
      </c>
      <c r="H3579" s="112" t="s">
        <v>362</v>
      </c>
      <c r="I3579" s="115" t="s">
        <v>363</v>
      </c>
    </row>
    <row r="3580" spans="1:10" ht="15.95" customHeight="1" x14ac:dyDescent="0.25">
      <c r="C3580" s="116" t="s">
        <v>364</v>
      </c>
      <c r="D3580" s="117" t="s">
        <v>365</v>
      </c>
      <c r="E3580" s="118"/>
      <c r="F3580" s="118"/>
      <c r="G3580" s="165"/>
      <c r="H3580" s="144"/>
      <c r="I3580" s="126"/>
    </row>
    <row r="3581" spans="1:10" ht="15.95" customHeight="1" x14ac:dyDescent="0.25">
      <c r="C3581" s="122"/>
      <c r="D3581" s="117" t="s">
        <v>366</v>
      </c>
      <c r="E3581" s="123" t="s">
        <v>367</v>
      </c>
      <c r="F3581" s="123" t="s">
        <v>368</v>
      </c>
      <c r="G3581" s="124">
        <v>0.25</v>
      </c>
      <c r="H3581" s="125">
        <f>VLOOKUP(D3581,Upah,8,FALSE)</f>
        <v>125000</v>
      </c>
      <c r="I3581" s="126">
        <f>G3581*H3581</f>
        <v>31250</v>
      </c>
    </row>
    <row r="3582" spans="1:10" ht="15.95" customHeight="1" x14ac:dyDescent="0.25">
      <c r="C3582" s="122"/>
      <c r="D3582" s="117" t="s">
        <v>505</v>
      </c>
      <c r="E3582" s="123" t="s">
        <v>414</v>
      </c>
      <c r="F3582" s="123" t="s">
        <v>368</v>
      </c>
      <c r="G3582" s="124">
        <v>0.125</v>
      </c>
      <c r="H3582" s="125">
        <f>VLOOKUP(D3582,Upah,8,FALSE)</f>
        <v>150000</v>
      </c>
      <c r="I3582" s="126">
        <f>G3582*H3582</f>
        <v>18750</v>
      </c>
    </row>
    <row r="3583" spans="1:10" ht="15.95" customHeight="1" x14ac:dyDescent="0.25">
      <c r="C3583" s="122"/>
      <c r="D3583" s="117" t="s">
        <v>429</v>
      </c>
      <c r="E3583" s="123" t="s">
        <v>372</v>
      </c>
      <c r="F3583" s="123" t="s">
        <v>368</v>
      </c>
      <c r="G3583" s="124">
        <v>1.2999999999999999E-2</v>
      </c>
      <c r="H3583" s="125">
        <f>VLOOKUP(D3583,Upah,8,FALSE)</f>
        <v>165000</v>
      </c>
      <c r="I3583" s="126">
        <f>G3583*H3583</f>
        <v>2145</v>
      </c>
    </row>
    <row r="3584" spans="1:10" ht="15.95" customHeight="1" thickBot="1" x14ac:dyDescent="0.3">
      <c r="C3584" s="122"/>
      <c r="D3584" s="117" t="s">
        <v>373</v>
      </c>
      <c r="E3584" s="123" t="s">
        <v>374</v>
      </c>
      <c r="F3584" s="123" t="s">
        <v>368</v>
      </c>
      <c r="G3584" s="124">
        <v>1.2999999999999999E-2</v>
      </c>
      <c r="H3584" s="125">
        <f>VLOOKUP(D3584,Upah,8,FALSE)</f>
        <v>170000</v>
      </c>
      <c r="I3584" s="126">
        <f>G3584*H3584</f>
        <v>2210</v>
      </c>
    </row>
    <row r="3585" spans="2:10" ht="15.95" customHeight="1" thickBot="1" x14ac:dyDescent="0.3">
      <c r="C3585" s="132"/>
      <c r="D3585" s="133"/>
      <c r="E3585" s="134"/>
      <c r="F3585" s="134"/>
      <c r="G3585" s="135" t="s">
        <v>375</v>
      </c>
      <c r="H3585" s="136"/>
      <c r="I3585" s="137">
        <f>SUM(I3581:I3584)</f>
        <v>54355</v>
      </c>
    </row>
    <row r="3586" spans="2:10" ht="15.95" customHeight="1" x14ac:dyDescent="0.25">
      <c r="C3586" s="116" t="s">
        <v>376</v>
      </c>
      <c r="D3586" s="117" t="s">
        <v>377</v>
      </c>
      <c r="E3586" s="118"/>
      <c r="F3586" s="118"/>
      <c r="G3586" s="165"/>
      <c r="H3586" s="144"/>
      <c r="I3586" s="126"/>
    </row>
    <row r="3587" spans="2:10" ht="15.95" customHeight="1" x14ac:dyDescent="0.25">
      <c r="C3587" s="122"/>
      <c r="D3587" s="117" t="s">
        <v>950</v>
      </c>
      <c r="E3587" s="118"/>
      <c r="F3587" s="123" t="s">
        <v>418</v>
      </c>
      <c r="G3587" s="124">
        <v>6.63</v>
      </c>
      <c r="H3587" s="144">
        <f>VLOOKUP(D3587,Bahan,6,FALSE)</f>
        <v>7380</v>
      </c>
      <c r="I3587" s="126">
        <f>G3587*H3587</f>
        <v>48929.4</v>
      </c>
    </row>
    <row r="3588" spans="2:10" ht="15.95" customHeight="1" x14ac:dyDescent="0.25">
      <c r="C3588" s="122"/>
      <c r="D3588" s="117" t="s">
        <v>380</v>
      </c>
      <c r="E3588" s="118"/>
      <c r="F3588" s="123" t="s">
        <v>133</v>
      </c>
      <c r="G3588" s="124">
        <v>9.8000000000000007</v>
      </c>
      <c r="H3588" s="144">
        <f>VLOOKUP(D3588,Bahan,6,FALSE)</f>
        <v>1880</v>
      </c>
      <c r="I3588" s="126">
        <f>G3588*H3588</f>
        <v>18424</v>
      </c>
    </row>
    <row r="3589" spans="2:10" ht="15.95" customHeight="1" thickBot="1" x14ac:dyDescent="0.3">
      <c r="C3589" s="122"/>
      <c r="D3589" s="117" t="s">
        <v>493</v>
      </c>
      <c r="E3589" s="118"/>
      <c r="F3589" s="123" t="s">
        <v>489</v>
      </c>
      <c r="G3589" s="124">
        <v>4.4999999999999998E-2</v>
      </c>
      <c r="H3589" s="144">
        <f>VLOOKUP(D3589,Bahan,6,FALSE)</f>
        <v>253510</v>
      </c>
      <c r="I3589" s="126">
        <f>G3589*H3589</f>
        <v>11407.949999999999</v>
      </c>
    </row>
    <row r="3590" spans="2:10" ht="15.95" customHeight="1" thickBot="1" x14ac:dyDescent="0.3">
      <c r="C3590" s="132"/>
      <c r="D3590" s="133"/>
      <c r="E3590" s="134"/>
      <c r="F3590" s="134"/>
      <c r="G3590" s="135" t="s">
        <v>386</v>
      </c>
      <c r="H3590" s="136"/>
      <c r="I3590" s="137">
        <f>SUM(I3587:I3589)</f>
        <v>78761.349999999991</v>
      </c>
    </row>
    <row r="3591" spans="2:10" ht="15.95" customHeight="1" thickBot="1" x14ac:dyDescent="0.3">
      <c r="C3591" s="116" t="s">
        <v>387</v>
      </c>
      <c r="D3591" s="117" t="s">
        <v>388</v>
      </c>
      <c r="E3591" s="118"/>
      <c r="F3591" s="118"/>
      <c r="G3591" s="165"/>
      <c r="H3591" s="144">
        <f>IF(AND(D3591&lt;&gt;"",F3591&lt;&gt;""),IF(C3591="",IF(F3591="OH",VLOOKUP(D3591,[1]UPAH!$B$3:$G$32,7,0),VLOOKUP(D3591,[1]BAHAN!$A$2:$D$3,4,0)),0),0)</f>
        <v>0</v>
      </c>
      <c r="I3591" s="126">
        <f>G3591*H3591</f>
        <v>0</v>
      </c>
    </row>
    <row r="3592" spans="2:10" ht="15.95" customHeight="1" thickBot="1" x14ac:dyDescent="0.3">
      <c r="C3592" s="132"/>
      <c r="D3592" s="133"/>
      <c r="E3592" s="134"/>
      <c r="F3592" s="134"/>
      <c r="G3592" s="135" t="s">
        <v>389</v>
      </c>
      <c r="H3592" s="136"/>
      <c r="I3592" s="137">
        <f>I3591</f>
        <v>0</v>
      </c>
    </row>
    <row r="3593" spans="2:10" ht="15.95" customHeight="1" x14ac:dyDescent="0.25">
      <c r="C3593" s="158" t="s">
        <v>390</v>
      </c>
      <c r="D3593" s="159" t="s">
        <v>391</v>
      </c>
      <c r="E3593" s="160"/>
      <c r="F3593" s="160"/>
      <c r="G3593" s="161"/>
      <c r="H3593" s="162">
        <f>IF(AND(D3593&lt;&gt;"",F3593&lt;&gt;""),IF(C3593="",IF(F3593="OH",VLOOKUP(D3593,[1]UPAH!$B$3:$G$32,7,0),VLOOKUP(D3593,[1]BAHAN!$A$2:$D$3,4,0)),0),0)</f>
        <v>0</v>
      </c>
      <c r="I3593" s="126">
        <f>SUM(I3581:I3592)/2</f>
        <v>133116.35</v>
      </c>
    </row>
    <row r="3594" spans="2:10" ht="15.95" customHeight="1" thickBot="1" x14ac:dyDescent="0.3">
      <c r="C3594" s="147" t="s">
        <v>392</v>
      </c>
      <c r="D3594" s="148" t="s">
        <v>393</v>
      </c>
      <c r="E3594" s="149"/>
      <c r="F3594" s="149"/>
      <c r="G3594" s="164">
        <v>0.1</v>
      </c>
      <c r="H3594" s="151"/>
      <c r="I3594" s="146">
        <f>G3594*I3593</f>
        <v>13311.635000000002</v>
      </c>
    </row>
    <row r="3595" spans="2:10" ht="15.95" customHeight="1" thickBot="1" x14ac:dyDescent="0.3">
      <c r="C3595" s="111" t="s">
        <v>394</v>
      </c>
      <c r="D3595" s="112" t="s">
        <v>395</v>
      </c>
      <c r="E3595" s="134"/>
      <c r="F3595" s="134"/>
      <c r="G3595" s="156"/>
      <c r="H3595" s="136">
        <f>IF(AND(D3595&lt;&gt;"",F3595&lt;&gt;""),IF(C3595="",IF(F3595="OH",VLOOKUP(D3595,[1]UPAH!$B$3:$G$32,7,0),VLOOKUP(D3595,[1]BAHAN!$A$2:$D$3,4,0)),0),0)</f>
        <v>0</v>
      </c>
      <c r="I3595" s="137">
        <f>ROUNDDOWN(I3593+I3594,0)</f>
        <v>146427</v>
      </c>
    </row>
    <row r="3596" spans="2:10" ht="15.95" customHeight="1" x14ac:dyDescent="0.25">
      <c r="C3596" s="109"/>
      <c r="D3596" s="109"/>
      <c r="G3596" s="157"/>
    </row>
    <row r="3597" spans="2:10" ht="15.95" customHeight="1" thickBot="1" x14ac:dyDescent="0.3">
      <c r="B3597" s="109" t="s">
        <v>951</v>
      </c>
      <c r="C3597" s="104" t="s">
        <v>952</v>
      </c>
      <c r="G3597" s="157"/>
      <c r="J3597" s="110">
        <f>I3614</f>
        <v>160654</v>
      </c>
    </row>
    <row r="3598" spans="2:10" ht="15.95" customHeight="1" thickBot="1" x14ac:dyDescent="0.3">
      <c r="C3598" s="111" t="s">
        <v>328</v>
      </c>
      <c r="D3598" s="112" t="s">
        <v>359</v>
      </c>
      <c r="E3598" s="113" t="s">
        <v>360</v>
      </c>
      <c r="F3598" s="113" t="s">
        <v>330</v>
      </c>
      <c r="G3598" s="114" t="s">
        <v>361</v>
      </c>
      <c r="H3598" s="112" t="s">
        <v>362</v>
      </c>
      <c r="I3598" s="115" t="s">
        <v>363</v>
      </c>
    </row>
    <row r="3599" spans="2:10" ht="15.95" customHeight="1" x14ac:dyDescent="0.25">
      <c r="C3599" s="116" t="s">
        <v>364</v>
      </c>
      <c r="D3599" s="117" t="s">
        <v>365</v>
      </c>
      <c r="E3599" s="118"/>
      <c r="F3599" s="118"/>
      <c r="G3599" s="165"/>
      <c r="H3599" s="144"/>
      <c r="I3599" s="126"/>
    </row>
    <row r="3600" spans="2:10" ht="15.95" customHeight="1" x14ac:dyDescent="0.25">
      <c r="C3600" s="122"/>
      <c r="D3600" s="117" t="s">
        <v>366</v>
      </c>
      <c r="E3600" s="123" t="s">
        <v>367</v>
      </c>
      <c r="F3600" s="123" t="s">
        <v>368</v>
      </c>
      <c r="G3600" s="124">
        <v>0.25</v>
      </c>
      <c r="H3600" s="125">
        <f>VLOOKUP(D3600,Upah,8,FALSE)</f>
        <v>125000</v>
      </c>
      <c r="I3600" s="126">
        <f>G3600*H3600</f>
        <v>31250</v>
      </c>
    </row>
    <row r="3601" spans="2:10" ht="15.95" customHeight="1" x14ac:dyDescent="0.25">
      <c r="C3601" s="122"/>
      <c r="D3601" s="117" t="s">
        <v>505</v>
      </c>
      <c r="E3601" s="123" t="s">
        <v>414</v>
      </c>
      <c r="F3601" s="123" t="s">
        <v>368</v>
      </c>
      <c r="G3601" s="124">
        <v>0.125</v>
      </c>
      <c r="H3601" s="125">
        <f>VLOOKUP(D3601,Upah,8,FALSE)</f>
        <v>150000</v>
      </c>
      <c r="I3601" s="126">
        <f>G3601*H3601</f>
        <v>18750</v>
      </c>
    </row>
    <row r="3602" spans="2:10" ht="15.95" customHeight="1" x14ac:dyDescent="0.25">
      <c r="C3602" s="122"/>
      <c r="D3602" s="117" t="s">
        <v>429</v>
      </c>
      <c r="E3602" s="123" t="s">
        <v>372</v>
      </c>
      <c r="F3602" s="123" t="s">
        <v>368</v>
      </c>
      <c r="G3602" s="124">
        <v>1.2999999999999999E-2</v>
      </c>
      <c r="H3602" s="125">
        <f>VLOOKUP(D3602,Upah,8,FALSE)</f>
        <v>165000</v>
      </c>
      <c r="I3602" s="126">
        <f>G3602*H3602</f>
        <v>2145</v>
      </c>
    </row>
    <row r="3603" spans="2:10" ht="15.95" customHeight="1" thickBot="1" x14ac:dyDescent="0.3">
      <c r="C3603" s="122"/>
      <c r="D3603" s="117" t="s">
        <v>373</v>
      </c>
      <c r="E3603" s="123" t="s">
        <v>374</v>
      </c>
      <c r="F3603" s="123" t="s">
        <v>368</v>
      </c>
      <c r="G3603" s="124">
        <v>1.2999999999999999E-2</v>
      </c>
      <c r="H3603" s="125">
        <f>VLOOKUP(D3603,Upah,8,FALSE)</f>
        <v>170000</v>
      </c>
      <c r="I3603" s="126">
        <f>G3603*H3603</f>
        <v>2210</v>
      </c>
    </row>
    <row r="3604" spans="2:10" ht="15.95" customHeight="1" thickBot="1" x14ac:dyDescent="0.3">
      <c r="C3604" s="132"/>
      <c r="D3604" s="133"/>
      <c r="E3604" s="134"/>
      <c r="F3604" s="134"/>
      <c r="G3604" s="135" t="s">
        <v>375</v>
      </c>
      <c r="H3604" s="136"/>
      <c r="I3604" s="137">
        <f>SUM(I3600:I3603)</f>
        <v>54355</v>
      </c>
    </row>
    <row r="3605" spans="2:10" ht="15.95" customHeight="1" x14ac:dyDescent="0.25">
      <c r="C3605" s="116" t="s">
        <v>376</v>
      </c>
      <c r="D3605" s="117" t="s">
        <v>377</v>
      </c>
      <c r="E3605" s="118"/>
      <c r="F3605" s="118"/>
      <c r="G3605" s="165"/>
      <c r="H3605" s="144"/>
      <c r="I3605" s="126"/>
    </row>
    <row r="3606" spans="2:10" ht="15.95" customHeight="1" x14ac:dyDescent="0.25">
      <c r="C3606" s="122"/>
      <c r="D3606" s="117" t="s">
        <v>953</v>
      </c>
      <c r="E3606" s="118"/>
      <c r="F3606" s="123" t="s">
        <v>418</v>
      </c>
      <c r="G3606" s="124">
        <v>11.87</v>
      </c>
      <c r="H3606" s="144">
        <f>VLOOKUP(D3606,Bahan,6,FALSE)</f>
        <v>5180</v>
      </c>
      <c r="I3606" s="126">
        <f>G3606*H3606</f>
        <v>61486.6</v>
      </c>
    </row>
    <row r="3607" spans="2:10" ht="15.95" customHeight="1" x14ac:dyDescent="0.25">
      <c r="C3607" s="122"/>
      <c r="D3607" s="117" t="s">
        <v>380</v>
      </c>
      <c r="E3607" s="118"/>
      <c r="F3607" s="123" t="s">
        <v>133</v>
      </c>
      <c r="G3607" s="124">
        <v>10</v>
      </c>
      <c r="H3607" s="144">
        <f>VLOOKUP(D3607,Bahan,6,FALSE)</f>
        <v>1880</v>
      </c>
      <c r="I3607" s="126">
        <f>G3607*H3607</f>
        <v>18800</v>
      </c>
    </row>
    <row r="3608" spans="2:10" ht="15.95" customHeight="1" thickBot="1" x14ac:dyDescent="0.3">
      <c r="C3608" s="122"/>
      <c r="D3608" s="117" t="s">
        <v>493</v>
      </c>
      <c r="E3608" s="118"/>
      <c r="F3608" s="123" t="s">
        <v>489</v>
      </c>
      <c r="G3608" s="124">
        <v>4.4999999999999998E-2</v>
      </c>
      <c r="H3608" s="144">
        <f>VLOOKUP(D3608,Bahan,6,FALSE)</f>
        <v>253510</v>
      </c>
      <c r="I3608" s="126">
        <f>G3608*H3608</f>
        <v>11407.949999999999</v>
      </c>
    </row>
    <row r="3609" spans="2:10" ht="15.95" customHeight="1" thickBot="1" x14ac:dyDescent="0.3">
      <c r="C3609" s="132"/>
      <c r="D3609" s="133"/>
      <c r="E3609" s="134"/>
      <c r="F3609" s="134"/>
      <c r="G3609" s="135" t="s">
        <v>386</v>
      </c>
      <c r="H3609" s="136"/>
      <c r="I3609" s="137">
        <f>SUM(I3606:I3608)</f>
        <v>91694.55</v>
      </c>
    </row>
    <row r="3610" spans="2:10" ht="15.95" customHeight="1" thickBot="1" x14ac:dyDescent="0.3">
      <c r="C3610" s="116" t="s">
        <v>387</v>
      </c>
      <c r="D3610" s="117" t="s">
        <v>388</v>
      </c>
      <c r="E3610" s="118"/>
      <c r="F3610" s="118"/>
      <c r="G3610" s="165"/>
      <c r="H3610" s="144">
        <f>IF(AND(D3610&lt;&gt;"",F3610&lt;&gt;""),IF(C3610="",IF(F3610="OH",VLOOKUP(D3610,[1]UPAH!$B$3:$G$32,7,0),VLOOKUP(D3610,[1]BAHAN!$A$2:$D$3,4,0)),0),0)</f>
        <v>0</v>
      </c>
      <c r="I3610" s="126">
        <f>G3610*H3610</f>
        <v>0</v>
      </c>
    </row>
    <row r="3611" spans="2:10" ht="15.95" customHeight="1" thickBot="1" x14ac:dyDescent="0.3">
      <c r="C3611" s="132"/>
      <c r="D3611" s="133"/>
      <c r="E3611" s="134"/>
      <c r="F3611" s="134"/>
      <c r="G3611" s="135" t="s">
        <v>389</v>
      </c>
      <c r="H3611" s="136"/>
      <c r="I3611" s="137">
        <f>I3610</f>
        <v>0</v>
      </c>
    </row>
    <row r="3612" spans="2:10" ht="15.95" customHeight="1" x14ac:dyDescent="0.25">
      <c r="C3612" s="158" t="s">
        <v>390</v>
      </c>
      <c r="D3612" s="159" t="s">
        <v>391</v>
      </c>
      <c r="E3612" s="160"/>
      <c r="F3612" s="160"/>
      <c r="G3612" s="161"/>
      <c r="H3612" s="162">
        <f>IF(AND(D3612&lt;&gt;"",F3612&lt;&gt;""),IF(C3612="",IF(F3612="OH",VLOOKUP(D3612,[1]UPAH!$B$3:$G$32,7,0),VLOOKUP(D3612,[1]BAHAN!$A$2:$D$3,4,0)),0),0)</f>
        <v>0</v>
      </c>
      <c r="I3612" s="126">
        <f>SUM(I3599:I3611)/2</f>
        <v>146049.55000000002</v>
      </c>
    </row>
    <row r="3613" spans="2:10" ht="15.95" customHeight="1" thickBot="1" x14ac:dyDescent="0.3">
      <c r="C3613" s="195" t="s">
        <v>392</v>
      </c>
      <c r="D3613" s="196" t="s">
        <v>393</v>
      </c>
      <c r="E3613" s="197"/>
      <c r="F3613" s="197"/>
      <c r="G3613" s="233">
        <v>0.1</v>
      </c>
      <c r="H3613" s="199"/>
      <c r="I3613" s="182">
        <f>G3613*I3612</f>
        <v>14604.955000000002</v>
      </c>
    </row>
    <row r="3614" spans="2:10" ht="15.95" customHeight="1" thickBot="1" x14ac:dyDescent="0.3">
      <c r="C3614" s="111" t="s">
        <v>394</v>
      </c>
      <c r="D3614" s="112" t="s">
        <v>395</v>
      </c>
      <c r="E3614" s="134"/>
      <c r="F3614" s="134"/>
      <c r="G3614" s="156"/>
      <c r="H3614" s="136">
        <f>IF(AND(D3614&lt;&gt;"",F3614&lt;&gt;""),IF(C3614="",IF(F3614="OH",VLOOKUP(D3614,[1]UPAH!$B$3:$G$32,7,0),VLOOKUP(D3614,[1]BAHAN!$A$2:$D$3,4,0)),0),0)</f>
        <v>0</v>
      </c>
      <c r="I3614" s="137">
        <f>ROUNDDOWN(I3612+I3613,0)</f>
        <v>160654</v>
      </c>
    </row>
    <row r="3615" spans="2:10" ht="15.95" customHeight="1" x14ac:dyDescent="0.25">
      <c r="C3615" s="109"/>
      <c r="D3615" s="109"/>
      <c r="G3615" s="157"/>
    </row>
    <row r="3616" spans="2:10" ht="15.95" customHeight="1" thickBot="1" x14ac:dyDescent="0.3">
      <c r="B3616" s="109" t="s">
        <v>954</v>
      </c>
      <c r="C3616" s="104" t="s">
        <v>955</v>
      </c>
      <c r="G3616" s="157"/>
      <c r="J3616" s="110">
        <f>I3633</f>
        <v>204429</v>
      </c>
    </row>
    <row r="3617" spans="3:9" ht="15.95" customHeight="1" thickBot="1" x14ac:dyDescent="0.3">
      <c r="C3617" s="111" t="s">
        <v>328</v>
      </c>
      <c r="D3617" s="112" t="s">
        <v>359</v>
      </c>
      <c r="E3617" s="113" t="s">
        <v>360</v>
      </c>
      <c r="F3617" s="113" t="s">
        <v>330</v>
      </c>
      <c r="G3617" s="114" t="s">
        <v>361</v>
      </c>
      <c r="H3617" s="112" t="s">
        <v>362</v>
      </c>
      <c r="I3617" s="115" t="s">
        <v>363</v>
      </c>
    </row>
    <row r="3618" spans="3:9" ht="15.95" customHeight="1" x14ac:dyDescent="0.25">
      <c r="C3618" s="116" t="s">
        <v>364</v>
      </c>
      <c r="D3618" s="117" t="s">
        <v>365</v>
      </c>
      <c r="E3618" s="118"/>
      <c r="F3618" s="118"/>
      <c r="G3618" s="165"/>
      <c r="H3618" s="144"/>
      <c r="I3618" s="126"/>
    </row>
    <row r="3619" spans="3:9" ht="15.95" customHeight="1" x14ac:dyDescent="0.25">
      <c r="C3619" s="122"/>
      <c r="D3619" s="117" t="s">
        <v>366</v>
      </c>
      <c r="E3619" s="123" t="s">
        <v>367</v>
      </c>
      <c r="F3619" s="123" t="s">
        <v>368</v>
      </c>
      <c r="G3619" s="124">
        <v>0.27</v>
      </c>
      <c r="H3619" s="125">
        <f>VLOOKUP(D3619,Upah,8,FALSE)</f>
        <v>125000</v>
      </c>
      <c r="I3619" s="126">
        <f>G3619*H3619</f>
        <v>33750</v>
      </c>
    </row>
    <row r="3620" spans="3:9" ht="15.95" customHeight="1" x14ac:dyDescent="0.25">
      <c r="C3620" s="122"/>
      <c r="D3620" s="117" t="s">
        <v>505</v>
      </c>
      <c r="E3620" s="123" t="s">
        <v>414</v>
      </c>
      <c r="F3620" s="123" t="s">
        <v>368</v>
      </c>
      <c r="G3620" s="124">
        <v>0.13500000000000001</v>
      </c>
      <c r="H3620" s="125">
        <f>VLOOKUP(D3620,Upah,8,FALSE)</f>
        <v>150000</v>
      </c>
      <c r="I3620" s="126">
        <f>G3620*H3620</f>
        <v>20250</v>
      </c>
    </row>
    <row r="3621" spans="3:9" ht="15.95" customHeight="1" x14ac:dyDescent="0.25">
      <c r="C3621" s="122"/>
      <c r="D3621" s="117" t="s">
        <v>429</v>
      </c>
      <c r="E3621" s="123" t="s">
        <v>372</v>
      </c>
      <c r="F3621" s="123" t="s">
        <v>368</v>
      </c>
      <c r="G3621" s="124">
        <v>1.4E-2</v>
      </c>
      <c r="H3621" s="125">
        <f>VLOOKUP(D3621,Upah,8,FALSE)</f>
        <v>165000</v>
      </c>
      <c r="I3621" s="126">
        <f>G3621*H3621</f>
        <v>2310</v>
      </c>
    </row>
    <row r="3622" spans="3:9" ht="15.95" customHeight="1" thickBot="1" x14ac:dyDescent="0.3">
      <c r="C3622" s="122"/>
      <c r="D3622" s="117" t="s">
        <v>373</v>
      </c>
      <c r="E3622" s="123" t="s">
        <v>374</v>
      </c>
      <c r="F3622" s="123" t="s">
        <v>368</v>
      </c>
      <c r="G3622" s="124">
        <v>1.4E-2</v>
      </c>
      <c r="H3622" s="125">
        <f>VLOOKUP(D3622,Upah,8,FALSE)</f>
        <v>170000</v>
      </c>
      <c r="I3622" s="126">
        <f>G3622*H3622</f>
        <v>2380</v>
      </c>
    </row>
    <row r="3623" spans="3:9" ht="15.95" customHeight="1" thickBot="1" x14ac:dyDescent="0.3">
      <c r="C3623" s="132"/>
      <c r="D3623" s="133"/>
      <c r="E3623" s="134"/>
      <c r="F3623" s="134"/>
      <c r="G3623" s="135" t="s">
        <v>375</v>
      </c>
      <c r="H3623" s="136"/>
      <c r="I3623" s="137">
        <f>SUM(I3619:I3622)</f>
        <v>58690</v>
      </c>
    </row>
    <row r="3624" spans="3:9" ht="15.95" customHeight="1" x14ac:dyDescent="0.25">
      <c r="C3624" s="116" t="s">
        <v>376</v>
      </c>
      <c r="D3624" s="117" t="s">
        <v>377</v>
      </c>
      <c r="E3624" s="118"/>
      <c r="F3624" s="118"/>
      <c r="G3624" s="165"/>
      <c r="H3624" s="144"/>
      <c r="I3624" s="126"/>
    </row>
    <row r="3625" spans="3:9" ht="15.95" customHeight="1" x14ac:dyDescent="0.25">
      <c r="C3625" s="122"/>
      <c r="D3625" s="117" t="s">
        <v>956</v>
      </c>
      <c r="E3625" s="118"/>
      <c r="F3625" s="123" t="s">
        <v>418</v>
      </c>
      <c r="G3625" s="124">
        <v>26.5</v>
      </c>
      <c r="H3625" s="144">
        <f>VLOOKUP(D3625,Bahan,6,FALSE)</f>
        <v>3630</v>
      </c>
      <c r="I3625" s="126">
        <f>G3625*H3625</f>
        <v>96195</v>
      </c>
    </row>
    <row r="3626" spans="3:9" ht="15.95" customHeight="1" x14ac:dyDescent="0.25">
      <c r="C3626" s="122"/>
      <c r="D3626" s="117" t="s">
        <v>380</v>
      </c>
      <c r="E3626" s="118"/>
      <c r="F3626" s="123" t="s">
        <v>133</v>
      </c>
      <c r="G3626" s="124">
        <v>10.4</v>
      </c>
      <c r="H3626" s="144">
        <f>VLOOKUP(D3626,Bahan,6,FALSE)</f>
        <v>1880</v>
      </c>
      <c r="I3626" s="126">
        <f>G3626*H3626</f>
        <v>19552</v>
      </c>
    </row>
    <row r="3627" spans="3:9" ht="15.95" customHeight="1" thickBot="1" x14ac:dyDescent="0.3">
      <c r="C3627" s="122"/>
      <c r="D3627" s="117" t="s">
        <v>493</v>
      </c>
      <c r="E3627" s="118"/>
      <c r="F3627" s="123" t="s">
        <v>489</v>
      </c>
      <c r="G3627" s="124">
        <v>4.4999999999999998E-2</v>
      </c>
      <c r="H3627" s="144">
        <f>VLOOKUP(D3627,Bahan,6,FALSE)</f>
        <v>253510</v>
      </c>
      <c r="I3627" s="126">
        <f>G3627*H3627</f>
        <v>11407.949999999999</v>
      </c>
    </row>
    <row r="3628" spans="3:9" ht="15.95" customHeight="1" thickBot="1" x14ac:dyDescent="0.3">
      <c r="C3628" s="132"/>
      <c r="D3628" s="133"/>
      <c r="E3628" s="134"/>
      <c r="F3628" s="134"/>
      <c r="G3628" s="135" t="s">
        <v>386</v>
      </c>
      <c r="H3628" s="136"/>
      <c r="I3628" s="137">
        <f>SUM(I3625:I3627)</f>
        <v>127154.95</v>
      </c>
    </row>
    <row r="3629" spans="3:9" ht="15.95" customHeight="1" thickBot="1" x14ac:dyDescent="0.3">
      <c r="C3629" s="116" t="s">
        <v>387</v>
      </c>
      <c r="D3629" s="117" t="s">
        <v>388</v>
      </c>
      <c r="E3629" s="118"/>
      <c r="F3629" s="118"/>
      <c r="G3629" s="165"/>
      <c r="H3629" s="144">
        <f>IF(AND(D3629&lt;&gt;"",F3629&lt;&gt;""),IF(C3629="",IF(F3629="OH",VLOOKUP(D3629,[1]UPAH!$B$3:$G$32,7,0),VLOOKUP(D3629,[1]BAHAN!$A$2:$D$3,4,0)),0),0)</f>
        <v>0</v>
      </c>
      <c r="I3629" s="126">
        <f>G3629*H3629</f>
        <v>0</v>
      </c>
    </row>
    <row r="3630" spans="3:9" ht="15.95" customHeight="1" thickBot="1" x14ac:dyDescent="0.3">
      <c r="C3630" s="132"/>
      <c r="D3630" s="133"/>
      <c r="E3630" s="134"/>
      <c r="F3630" s="134"/>
      <c r="G3630" s="135" t="s">
        <v>389</v>
      </c>
      <c r="H3630" s="136"/>
      <c r="I3630" s="137">
        <f>I3629</f>
        <v>0</v>
      </c>
    </row>
    <row r="3631" spans="3:9" ht="15.95" customHeight="1" x14ac:dyDescent="0.25">
      <c r="C3631" s="158" t="s">
        <v>390</v>
      </c>
      <c r="D3631" s="159" t="s">
        <v>391</v>
      </c>
      <c r="E3631" s="160"/>
      <c r="F3631" s="160"/>
      <c r="G3631" s="161"/>
      <c r="H3631" s="162">
        <f>IF(AND(D3631&lt;&gt;"",F3631&lt;&gt;""),IF(C3631="",IF(F3631="OH",VLOOKUP(D3631,[1]UPAH!$B$3:$G$32,7,0),VLOOKUP(D3631,[1]BAHAN!$A$2:$D$3,4,0)),0),0)</f>
        <v>0</v>
      </c>
      <c r="I3631" s="126">
        <f>SUM(I3618:I3630)/2</f>
        <v>185844.95</v>
      </c>
    </row>
    <row r="3632" spans="3:9" ht="15.95" customHeight="1" thickBot="1" x14ac:dyDescent="0.3">
      <c r="C3632" s="147" t="s">
        <v>392</v>
      </c>
      <c r="D3632" s="148" t="s">
        <v>393</v>
      </c>
      <c r="E3632" s="149"/>
      <c r="F3632" s="149"/>
      <c r="G3632" s="164">
        <v>0.1</v>
      </c>
      <c r="H3632" s="151"/>
      <c r="I3632" s="146">
        <f>G3632*I3631</f>
        <v>18584.495000000003</v>
      </c>
    </row>
    <row r="3633" spans="2:10" ht="15.95" customHeight="1" thickBot="1" x14ac:dyDescent="0.3">
      <c r="C3633" s="111" t="s">
        <v>394</v>
      </c>
      <c r="D3633" s="112" t="s">
        <v>395</v>
      </c>
      <c r="E3633" s="134"/>
      <c r="F3633" s="134"/>
      <c r="G3633" s="156"/>
      <c r="H3633" s="136">
        <f>IF(AND(D3633&lt;&gt;"",F3633&lt;&gt;""),IF(C3633="",IF(F3633="OH",VLOOKUP(D3633,[1]UPAH!$B$3:$G$32,7,0),VLOOKUP(D3633,[1]BAHAN!$A$2:$D$3,4,0)),0),0)</f>
        <v>0</v>
      </c>
      <c r="I3633" s="137">
        <f>ROUNDDOWN(I3631+I3632,0)</f>
        <v>204429</v>
      </c>
    </row>
    <row r="3634" spans="2:10" ht="15.95" customHeight="1" x14ac:dyDescent="0.25">
      <c r="C3634" s="109"/>
      <c r="D3634" s="109"/>
      <c r="G3634" s="157"/>
    </row>
    <row r="3635" spans="2:10" ht="15.95" customHeight="1" thickBot="1" x14ac:dyDescent="0.3">
      <c r="B3635" s="109" t="s">
        <v>957</v>
      </c>
      <c r="C3635" s="104" t="s">
        <v>958</v>
      </c>
      <c r="G3635" s="157"/>
      <c r="J3635" s="110">
        <f>I3653</f>
        <v>227251</v>
      </c>
    </row>
    <row r="3636" spans="2:10" ht="15.95" customHeight="1" thickBot="1" x14ac:dyDescent="0.3">
      <c r="C3636" s="111" t="s">
        <v>328</v>
      </c>
      <c r="D3636" s="112" t="s">
        <v>359</v>
      </c>
      <c r="E3636" s="113" t="s">
        <v>360</v>
      </c>
      <c r="F3636" s="113" t="s">
        <v>330</v>
      </c>
      <c r="G3636" s="114" t="s">
        <v>361</v>
      </c>
      <c r="H3636" s="112" t="s">
        <v>362</v>
      </c>
      <c r="I3636" s="115" t="s">
        <v>363</v>
      </c>
    </row>
    <row r="3637" spans="2:10" ht="15.95" customHeight="1" x14ac:dyDescent="0.25">
      <c r="C3637" s="116" t="s">
        <v>364</v>
      </c>
      <c r="D3637" s="117" t="s">
        <v>365</v>
      </c>
      <c r="E3637" s="118"/>
      <c r="F3637" s="118"/>
      <c r="G3637" s="165"/>
      <c r="H3637" s="144"/>
      <c r="I3637" s="126"/>
    </row>
    <row r="3638" spans="2:10" ht="15.95" customHeight="1" x14ac:dyDescent="0.25">
      <c r="C3638" s="122"/>
      <c r="D3638" s="117" t="s">
        <v>366</v>
      </c>
      <c r="E3638" s="123" t="s">
        <v>367</v>
      </c>
      <c r="F3638" s="123" t="s">
        <v>368</v>
      </c>
      <c r="G3638" s="124">
        <v>0.25</v>
      </c>
      <c r="H3638" s="125">
        <f>VLOOKUP(D3638,Upah,8,FALSE)</f>
        <v>125000</v>
      </c>
      <c r="I3638" s="126">
        <f>G3638*H3638</f>
        <v>31250</v>
      </c>
    </row>
    <row r="3639" spans="2:10" ht="15.95" customHeight="1" x14ac:dyDescent="0.25">
      <c r="C3639" s="122"/>
      <c r="D3639" s="117" t="s">
        <v>505</v>
      </c>
      <c r="E3639" s="123" t="s">
        <v>414</v>
      </c>
      <c r="F3639" s="123" t="s">
        <v>368</v>
      </c>
      <c r="G3639" s="124">
        <v>0.125</v>
      </c>
      <c r="H3639" s="125">
        <f>VLOOKUP(D3639,Upah,8,FALSE)</f>
        <v>150000</v>
      </c>
      <c r="I3639" s="126">
        <f>G3639*H3639</f>
        <v>18750</v>
      </c>
    </row>
    <row r="3640" spans="2:10" ht="15.95" customHeight="1" x14ac:dyDescent="0.25">
      <c r="C3640" s="122"/>
      <c r="D3640" s="117" t="s">
        <v>429</v>
      </c>
      <c r="E3640" s="123" t="s">
        <v>372</v>
      </c>
      <c r="F3640" s="123" t="s">
        <v>368</v>
      </c>
      <c r="G3640" s="124">
        <v>1.2999999999999999E-2</v>
      </c>
      <c r="H3640" s="125">
        <f>VLOOKUP(D3640,Upah,8,FALSE)</f>
        <v>165000</v>
      </c>
      <c r="I3640" s="126">
        <f>G3640*H3640</f>
        <v>2145</v>
      </c>
    </row>
    <row r="3641" spans="2:10" ht="15.95" customHeight="1" thickBot="1" x14ac:dyDescent="0.3">
      <c r="C3641" s="122"/>
      <c r="D3641" s="117" t="s">
        <v>373</v>
      </c>
      <c r="E3641" s="123" t="s">
        <v>374</v>
      </c>
      <c r="F3641" s="123" t="s">
        <v>368</v>
      </c>
      <c r="G3641" s="124">
        <v>1.2999999999999999E-2</v>
      </c>
      <c r="H3641" s="125">
        <f>VLOOKUP(D3641,Upah,8,FALSE)</f>
        <v>170000</v>
      </c>
      <c r="I3641" s="126">
        <f>G3641*H3641</f>
        <v>2210</v>
      </c>
    </row>
    <row r="3642" spans="2:10" ht="15.95" customHeight="1" thickBot="1" x14ac:dyDescent="0.3">
      <c r="C3642" s="132"/>
      <c r="D3642" s="133"/>
      <c r="E3642" s="134"/>
      <c r="F3642" s="134"/>
      <c r="G3642" s="135" t="s">
        <v>375</v>
      </c>
      <c r="H3642" s="136"/>
      <c r="I3642" s="137">
        <f>SUM(I3638:I3641)</f>
        <v>54355</v>
      </c>
    </row>
    <row r="3643" spans="2:10" ht="15.95" customHeight="1" x14ac:dyDescent="0.25">
      <c r="C3643" s="116" t="s">
        <v>376</v>
      </c>
      <c r="D3643" s="117" t="s">
        <v>377</v>
      </c>
      <c r="E3643" s="118"/>
      <c r="F3643" s="118"/>
      <c r="G3643" s="165"/>
      <c r="H3643" s="144"/>
      <c r="I3643" s="126"/>
    </row>
    <row r="3644" spans="2:10" ht="15.95" customHeight="1" x14ac:dyDescent="0.25">
      <c r="C3644" s="122"/>
      <c r="D3644" s="117" t="s">
        <v>959</v>
      </c>
      <c r="E3644" s="118"/>
      <c r="F3644" s="123" t="s">
        <v>418</v>
      </c>
      <c r="G3644" s="124">
        <v>6.63</v>
      </c>
      <c r="H3644" s="144">
        <f>VLOOKUP(D3644,Bahan,6,FALSE)</f>
        <v>17980</v>
      </c>
      <c r="I3644" s="126">
        <f>G3644*H3644</f>
        <v>119207.4</v>
      </c>
    </row>
    <row r="3645" spans="2:10" ht="15.95" customHeight="1" x14ac:dyDescent="0.25">
      <c r="C3645" s="122"/>
      <c r="D3645" s="117" t="s">
        <v>380</v>
      </c>
      <c r="E3645" s="118"/>
      <c r="F3645" s="123" t="s">
        <v>133</v>
      </c>
      <c r="G3645" s="124">
        <v>9.8000000000000007</v>
      </c>
      <c r="H3645" s="144">
        <f>VLOOKUP(D3645,Bahan,6,FALSE)</f>
        <v>1880</v>
      </c>
      <c r="I3645" s="126">
        <f>G3645*H3645</f>
        <v>18424</v>
      </c>
    </row>
    <row r="3646" spans="2:10" ht="15.95" customHeight="1" x14ac:dyDescent="0.25">
      <c r="C3646" s="122"/>
      <c r="D3646" s="117" t="s">
        <v>960</v>
      </c>
      <c r="E3646" s="118"/>
      <c r="F3646" s="123" t="s">
        <v>159</v>
      </c>
      <c r="G3646" s="124">
        <v>1.3</v>
      </c>
      <c r="H3646" s="144">
        <f>VLOOKUP(D3646,Bahan,6,FALSE)</f>
        <v>2460</v>
      </c>
      <c r="I3646" s="126">
        <f>G3646*H3646</f>
        <v>3198</v>
      </c>
    </row>
    <row r="3647" spans="2:10" ht="15.95" customHeight="1" thickBot="1" x14ac:dyDescent="0.3">
      <c r="C3647" s="122"/>
      <c r="D3647" s="117" t="s">
        <v>493</v>
      </c>
      <c r="E3647" s="118"/>
      <c r="F3647" s="123" t="s">
        <v>489</v>
      </c>
      <c r="G3647" s="124">
        <v>4.4999999999999998E-2</v>
      </c>
      <c r="H3647" s="144">
        <f>VLOOKUP(D3647,Bahan,6,FALSE)</f>
        <v>253510</v>
      </c>
      <c r="I3647" s="126">
        <f>G3647*H3647</f>
        <v>11407.949999999999</v>
      </c>
    </row>
    <row r="3648" spans="2:10" ht="15.95" customHeight="1" thickBot="1" x14ac:dyDescent="0.3">
      <c r="C3648" s="132"/>
      <c r="D3648" s="133"/>
      <c r="E3648" s="134"/>
      <c r="F3648" s="134"/>
      <c r="G3648" s="135" t="s">
        <v>386</v>
      </c>
      <c r="H3648" s="136"/>
      <c r="I3648" s="137">
        <f>SUM(I3644:I3647)</f>
        <v>152237.35</v>
      </c>
    </row>
    <row r="3649" spans="2:10" ht="15.95" customHeight="1" thickBot="1" x14ac:dyDescent="0.3">
      <c r="C3649" s="116" t="s">
        <v>387</v>
      </c>
      <c r="D3649" s="117" t="s">
        <v>388</v>
      </c>
      <c r="E3649" s="118"/>
      <c r="F3649" s="118"/>
      <c r="G3649" s="165"/>
      <c r="H3649" s="144">
        <f>IF(AND(D3649&lt;&gt;"",F3649&lt;&gt;""),IF(C3649="",IF(F3649="OH",VLOOKUP(D3649,[1]UPAH!$B$3:$G$32,7,0),VLOOKUP(D3649,[1]BAHAN!$A$2:$D$3,4,0)),0),0)</f>
        <v>0</v>
      </c>
      <c r="I3649" s="126">
        <f>G3649*H3649</f>
        <v>0</v>
      </c>
    </row>
    <row r="3650" spans="2:10" ht="15.95" customHeight="1" thickBot="1" x14ac:dyDescent="0.3">
      <c r="C3650" s="132"/>
      <c r="D3650" s="133"/>
      <c r="E3650" s="134"/>
      <c r="F3650" s="134"/>
      <c r="G3650" s="135" t="s">
        <v>389</v>
      </c>
      <c r="H3650" s="136"/>
      <c r="I3650" s="137">
        <f>I3649</f>
        <v>0</v>
      </c>
    </row>
    <row r="3651" spans="2:10" ht="15.95" customHeight="1" x14ac:dyDescent="0.25">
      <c r="C3651" s="158" t="s">
        <v>390</v>
      </c>
      <c r="D3651" s="159" t="s">
        <v>391</v>
      </c>
      <c r="E3651" s="160"/>
      <c r="F3651" s="160"/>
      <c r="G3651" s="161"/>
      <c r="H3651" s="162">
        <f>IF(AND(D3651&lt;&gt;"",F3651&lt;&gt;""),IF(C3651="",IF(F3651="OH",VLOOKUP(D3651,[1]UPAH!$B$3:$G$32,7,0),VLOOKUP(D3651,[1]BAHAN!$A$2:$D$3,4,0)),0),0)</f>
        <v>0</v>
      </c>
      <c r="I3651" s="126">
        <f>SUM(I3637:I3650)/2</f>
        <v>206592.35</v>
      </c>
    </row>
    <row r="3652" spans="2:10" ht="15.95" customHeight="1" thickBot="1" x14ac:dyDescent="0.3">
      <c r="C3652" s="147" t="s">
        <v>392</v>
      </c>
      <c r="D3652" s="148" t="s">
        <v>393</v>
      </c>
      <c r="E3652" s="149"/>
      <c r="F3652" s="149"/>
      <c r="G3652" s="164">
        <v>0.1</v>
      </c>
      <c r="H3652" s="151"/>
      <c r="I3652" s="146">
        <f>G3652*I3651</f>
        <v>20659.235000000001</v>
      </c>
    </row>
    <row r="3653" spans="2:10" ht="15.95" customHeight="1" thickBot="1" x14ac:dyDescent="0.3">
      <c r="C3653" s="111" t="s">
        <v>394</v>
      </c>
      <c r="D3653" s="112" t="s">
        <v>395</v>
      </c>
      <c r="E3653" s="134"/>
      <c r="F3653" s="134"/>
      <c r="G3653" s="156"/>
      <c r="H3653" s="136">
        <f>IF(AND(D3653&lt;&gt;"",F3653&lt;&gt;""),IF(C3653="",IF(F3653="OH",VLOOKUP(D3653,[1]UPAH!$B$3:$G$32,7,0),VLOOKUP(D3653,[1]BAHAN!$A$2:$D$3,4,0)),0),0)</f>
        <v>0</v>
      </c>
      <c r="I3653" s="137">
        <f>ROUNDDOWN(I3651+I3652,0)</f>
        <v>227251</v>
      </c>
    </row>
    <row r="3654" spans="2:10" ht="15.95" customHeight="1" x14ac:dyDescent="0.25">
      <c r="C3654" s="109"/>
      <c r="D3654" s="109"/>
      <c r="G3654" s="157"/>
    </row>
    <row r="3655" spans="2:10" ht="15.95" customHeight="1" thickBot="1" x14ac:dyDescent="0.3">
      <c r="B3655" s="109" t="s">
        <v>961</v>
      </c>
      <c r="C3655" s="104" t="s">
        <v>962</v>
      </c>
      <c r="G3655" s="157"/>
      <c r="J3655" s="110">
        <f>I3673</f>
        <v>304925</v>
      </c>
    </row>
    <row r="3656" spans="2:10" ht="15.95" customHeight="1" thickBot="1" x14ac:dyDescent="0.3">
      <c r="C3656" s="111" t="s">
        <v>328</v>
      </c>
      <c r="D3656" s="112" t="s">
        <v>359</v>
      </c>
      <c r="E3656" s="113" t="s">
        <v>360</v>
      </c>
      <c r="F3656" s="113" t="s">
        <v>330</v>
      </c>
      <c r="G3656" s="114" t="s">
        <v>361</v>
      </c>
      <c r="H3656" s="112" t="s">
        <v>362</v>
      </c>
      <c r="I3656" s="115" t="s">
        <v>363</v>
      </c>
    </row>
    <row r="3657" spans="2:10" ht="15.95" customHeight="1" x14ac:dyDescent="0.25">
      <c r="C3657" s="116" t="s">
        <v>364</v>
      </c>
      <c r="D3657" s="117" t="s">
        <v>365</v>
      </c>
      <c r="E3657" s="118"/>
      <c r="F3657" s="118"/>
      <c r="G3657" s="165"/>
      <c r="H3657" s="144"/>
      <c r="I3657" s="126"/>
    </row>
    <row r="3658" spans="2:10" ht="15.95" customHeight="1" x14ac:dyDescent="0.25">
      <c r="C3658" s="122"/>
      <c r="D3658" s="117" t="s">
        <v>366</v>
      </c>
      <c r="E3658" s="123" t="s">
        <v>367</v>
      </c>
      <c r="F3658" s="123" t="s">
        <v>368</v>
      </c>
      <c r="G3658" s="124">
        <v>0.26</v>
      </c>
      <c r="H3658" s="125">
        <f>VLOOKUP(D3658,Upah,8,FALSE)</f>
        <v>125000</v>
      </c>
      <c r="I3658" s="126">
        <f>G3658*H3658</f>
        <v>32500</v>
      </c>
    </row>
    <row r="3659" spans="2:10" ht="15.95" customHeight="1" x14ac:dyDescent="0.25">
      <c r="C3659" s="122"/>
      <c r="D3659" s="117" t="s">
        <v>505</v>
      </c>
      <c r="E3659" s="123" t="s">
        <v>414</v>
      </c>
      <c r="F3659" s="123" t="s">
        <v>368</v>
      </c>
      <c r="G3659" s="124">
        <v>0.13</v>
      </c>
      <c r="H3659" s="125">
        <f>VLOOKUP(D3659,Upah,8,FALSE)</f>
        <v>150000</v>
      </c>
      <c r="I3659" s="126">
        <f>G3659*H3659</f>
        <v>19500</v>
      </c>
    </row>
    <row r="3660" spans="2:10" ht="15.95" customHeight="1" x14ac:dyDescent="0.25">
      <c r="C3660" s="122"/>
      <c r="D3660" s="117" t="s">
        <v>429</v>
      </c>
      <c r="E3660" s="123" t="s">
        <v>372</v>
      </c>
      <c r="F3660" s="123" t="s">
        <v>368</v>
      </c>
      <c r="G3660" s="124">
        <v>1.2999999999999999E-2</v>
      </c>
      <c r="H3660" s="125">
        <f>VLOOKUP(D3660,Upah,8,FALSE)</f>
        <v>165000</v>
      </c>
      <c r="I3660" s="126">
        <f>G3660*H3660</f>
        <v>2145</v>
      </c>
    </row>
    <row r="3661" spans="2:10" ht="15.95" customHeight="1" thickBot="1" x14ac:dyDescent="0.3">
      <c r="C3661" s="122"/>
      <c r="D3661" s="117" t="s">
        <v>373</v>
      </c>
      <c r="E3661" s="123" t="s">
        <v>374</v>
      </c>
      <c r="F3661" s="123" t="s">
        <v>368</v>
      </c>
      <c r="G3661" s="124">
        <v>1.2999999999999999E-2</v>
      </c>
      <c r="H3661" s="125">
        <f>VLOOKUP(D3661,Upah,8,FALSE)</f>
        <v>170000</v>
      </c>
      <c r="I3661" s="126">
        <f>G3661*H3661</f>
        <v>2210</v>
      </c>
    </row>
    <row r="3662" spans="2:10" ht="15.95" customHeight="1" thickBot="1" x14ac:dyDescent="0.3">
      <c r="C3662" s="132"/>
      <c r="D3662" s="133"/>
      <c r="E3662" s="134"/>
      <c r="F3662" s="134"/>
      <c r="G3662" s="135" t="s">
        <v>375</v>
      </c>
      <c r="H3662" s="136"/>
      <c r="I3662" s="137">
        <f>SUM(I3658:I3661)</f>
        <v>56355</v>
      </c>
    </row>
    <row r="3663" spans="2:10" ht="15.95" customHeight="1" x14ac:dyDescent="0.25">
      <c r="C3663" s="116" t="s">
        <v>376</v>
      </c>
      <c r="D3663" s="117" t="s">
        <v>377</v>
      </c>
      <c r="E3663" s="118"/>
      <c r="F3663" s="118"/>
      <c r="G3663" s="165"/>
      <c r="H3663" s="144"/>
      <c r="I3663" s="126"/>
    </row>
    <row r="3664" spans="2:10" ht="15.95" customHeight="1" x14ac:dyDescent="0.25">
      <c r="C3664" s="122"/>
      <c r="D3664" s="117" t="s">
        <v>963</v>
      </c>
      <c r="E3664" s="118"/>
      <c r="F3664" s="123" t="s">
        <v>418</v>
      </c>
      <c r="G3664" s="124">
        <v>11.87</v>
      </c>
      <c r="H3664" s="144">
        <f>VLOOKUP(D3664,Bahan,6,FALSE)</f>
        <v>15750</v>
      </c>
      <c r="I3664" s="126">
        <f>G3664*H3664</f>
        <v>186952.5</v>
      </c>
    </row>
    <row r="3665" spans="2:10" ht="15.95" customHeight="1" x14ac:dyDescent="0.25">
      <c r="C3665" s="122"/>
      <c r="D3665" s="117" t="s">
        <v>380</v>
      </c>
      <c r="E3665" s="118"/>
      <c r="F3665" s="123" t="s">
        <v>133</v>
      </c>
      <c r="G3665" s="124">
        <v>10</v>
      </c>
      <c r="H3665" s="144">
        <f>VLOOKUP(D3665,Bahan,6,FALSE)</f>
        <v>1880</v>
      </c>
      <c r="I3665" s="126">
        <f>G3665*H3665</f>
        <v>18800</v>
      </c>
    </row>
    <row r="3666" spans="2:10" ht="15.95" customHeight="1" x14ac:dyDescent="0.25">
      <c r="C3666" s="122"/>
      <c r="D3666" s="117" t="s">
        <v>960</v>
      </c>
      <c r="E3666" s="118"/>
      <c r="F3666" s="123" t="s">
        <v>159</v>
      </c>
      <c r="G3666" s="124">
        <v>1.5</v>
      </c>
      <c r="H3666" s="144">
        <f>VLOOKUP(D3666,Bahan,6,FALSE)</f>
        <v>2460</v>
      </c>
      <c r="I3666" s="126">
        <f>G3666*H3666</f>
        <v>3690</v>
      </c>
    </row>
    <row r="3667" spans="2:10" ht="15.95" customHeight="1" thickBot="1" x14ac:dyDescent="0.3">
      <c r="C3667" s="122"/>
      <c r="D3667" s="117" t="s">
        <v>493</v>
      </c>
      <c r="E3667" s="118"/>
      <c r="F3667" s="123" t="s">
        <v>489</v>
      </c>
      <c r="G3667" s="124">
        <v>4.4999999999999998E-2</v>
      </c>
      <c r="H3667" s="144">
        <f>VLOOKUP(D3667,Bahan,6,FALSE)</f>
        <v>253510</v>
      </c>
      <c r="I3667" s="126">
        <f>G3667*H3667</f>
        <v>11407.949999999999</v>
      </c>
    </row>
    <row r="3668" spans="2:10" ht="15.95" customHeight="1" thickBot="1" x14ac:dyDescent="0.3">
      <c r="C3668" s="132"/>
      <c r="D3668" s="133"/>
      <c r="E3668" s="134"/>
      <c r="F3668" s="134"/>
      <c r="G3668" s="135" t="s">
        <v>386</v>
      </c>
      <c r="H3668" s="136"/>
      <c r="I3668" s="137">
        <f>SUM(I3664:I3667)</f>
        <v>220850.45</v>
      </c>
    </row>
    <row r="3669" spans="2:10" ht="15.95" customHeight="1" thickBot="1" x14ac:dyDescent="0.3">
      <c r="C3669" s="116" t="s">
        <v>387</v>
      </c>
      <c r="D3669" s="117" t="s">
        <v>388</v>
      </c>
      <c r="E3669" s="118"/>
      <c r="F3669" s="118"/>
      <c r="G3669" s="165"/>
      <c r="H3669" s="144">
        <f>IF(AND(D3669&lt;&gt;"",F3669&lt;&gt;""),IF(C3669="",IF(F3669="OH",VLOOKUP(D3669,[1]UPAH!$B$3:$G$32,7,0),VLOOKUP(D3669,[1]BAHAN!$A$2:$D$3,4,0)),0),0)</f>
        <v>0</v>
      </c>
      <c r="I3669" s="126">
        <f>G3669*H3669</f>
        <v>0</v>
      </c>
    </row>
    <row r="3670" spans="2:10" ht="15.95" customHeight="1" thickBot="1" x14ac:dyDescent="0.3">
      <c r="C3670" s="132"/>
      <c r="D3670" s="133"/>
      <c r="E3670" s="134"/>
      <c r="F3670" s="134"/>
      <c r="G3670" s="135" t="s">
        <v>389</v>
      </c>
      <c r="H3670" s="136"/>
      <c r="I3670" s="137">
        <f>I3669</f>
        <v>0</v>
      </c>
    </row>
    <row r="3671" spans="2:10" ht="15.95" customHeight="1" x14ac:dyDescent="0.25">
      <c r="C3671" s="158" t="s">
        <v>390</v>
      </c>
      <c r="D3671" s="159" t="s">
        <v>391</v>
      </c>
      <c r="E3671" s="160"/>
      <c r="F3671" s="160"/>
      <c r="G3671" s="161"/>
      <c r="H3671" s="162">
        <f>IF(AND(D3671&lt;&gt;"",F3671&lt;&gt;""),IF(C3671="",IF(F3671="OH",VLOOKUP(D3671,[1]UPAH!$B$3:$G$32,7,0),VLOOKUP(D3671,[1]BAHAN!$A$2:$D$3,4,0)),0),0)</f>
        <v>0</v>
      </c>
      <c r="I3671" s="126">
        <f>SUM(I3658:I3670)/2</f>
        <v>277205.45</v>
      </c>
    </row>
    <row r="3672" spans="2:10" ht="15.95" customHeight="1" thickBot="1" x14ac:dyDescent="0.3">
      <c r="C3672" s="147" t="s">
        <v>392</v>
      </c>
      <c r="D3672" s="148" t="s">
        <v>393</v>
      </c>
      <c r="E3672" s="149"/>
      <c r="F3672" s="149"/>
      <c r="G3672" s="164">
        <v>0.1</v>
      </c>
      <c r="H3672" s="151"/>
      <c r="I3672" s="146">
        <f>G3672*I3671</f>
        <v>27720.545000000002</v>
      </c>
    </row>
    <row r="3673" spans="2:10" ht="15.95" customHeight="1" thickBot="1" x14ac:dyDescent="0.3">
      <c r="C3673" s="111" t="s">
        <v>394</v>
      </c>
      <c r="D3673" s="112" t="s">
        <v>395</v>
      </c>
      <c r="E3673" s="134"/>
      <c r="F3673" s="134"/>
      <c r="G3673" s="156"/>
      <c r="H3673" s="136">
        <f>IF(AND(D3673&lt;&gt;"",F3673&lt;&gt;""),IF(C3673="",IF(F3673="OH",VLOOKUP(D3673,[1]UPAH!$B$3:$G$32,7,0),VLOOKUP(D3673,[1]BAHAN!$A$2:$D$3,4,0)),0),0)</f>
        <v>0</v>
      </c>
      <c r="I3673" s="137">
        <f>ROUNDDOWN(I3671+I3672,0)</f>
        <v>304925</v>
      </c>
    </row>
    <row r="3674" spans="2:10" ht="15.95" customHeight="1" x14ac:dyDescent="0.25">
      <c r="C3674" s="109"/>
      <c r="D3674" s="109"/>
      <c r="G3674" s="157"/>
    </row>
    <row r="3675" spans="2:10" ht="15.95" customHeight="1" thickBot="1" x14ac:dyDescent="0.3">
      <c r="B3675" s="109" t="s">
        <v>964</v>
      </c>
      <c r="C3675" s="104" t="s">
        <v>965</v>
      </c>
      <c r="G3675" s="157"/>
      <c r="J3675" s="110">
        <f>I3693</f>
        <v>518677</v>
      </c>
    </row>
    <row r="3676" spans="2:10" ht="15.95" customHeight="1" thickBot="1" x14ac:dyDescent="0.3">
      <c r="C3676" s="111" t="s">
        <v>328</v>
      </c>
      <c r="D3676" s="112" t="s">
        <v>359</v>
      </c>
      <c r="E3676" s="113" t="s">
        <v>360</v>
      </c>
      <c r="F3676" s="113" t="s">
        <v>330</v>
      </c>
      <c r="G3676" s="114" t="s">
        <v>361</v>
      </c>
      <c r="H3676" s="112" t="s">
        <v>362</v>
      </c>
      <c r="I3676" s="115" t="s">
        <v>363</v>
      </c>
    </row>
    <row r="3677" spans="2:10" ht="15.95" customHeight="1" x14ac:dyDescent="0.25">
      <c r="C3677" s="116" t="s">
        <v>364</v>
      </c>
      <c r="D3677" s="117" t="s">
        <v>365</v>
      </c>
      <c r="E3677" s="118"/>
      <c r="F3677" s="118"/>
      <c r="G3677" s="165"/>
      <c r="H3677" s="144"/>
      <c r="I3677" s="126"/>
    </row>
    <row r="3678" spans="2:10" ht="15.95" customHeight="1" x14ac:dyDescent="0.25">
      <c r="C3678" s="122"/>
      <c r="D3678" s="117" t="s">
        <v>366</v>
      </c>
      <c r="E3678" s="123" t="s">
        <v>367</v>
      </c>
      <c r="F3678" s="123" t="s">
        <v>368</v>
      </c>
      <c r="G3678" s="124">
        <v>0.27</v>
      </c>
      <c r="H3678" s="125">
        <f>VLOOKUP(D3678,Upah,8,FALSE)</f>
        <v>125000</v>
      </c>
      <c r="I3678" s="126">
        <f>G3678*H3678</f>
        <v>33750</v>
      </c>
    </row>
    <row r="3679" spans="2:10" ht="15.95" customHeight="1" x14ac:dyDescent="0.25">
      <c r="C3679" s="122"/>
      <c r="D3679" s="117" t="s">
        <v>505</v>
      </c>
      <c r="E3679" s="123" t="s">
        <v>414</v>
      </c>
      <c r="F3679" s="123" t="s">
        <v>368</v>
      </c>
      <c r="G3679" s="124">
        <v>0.13500000000000001</v>
      </c>
      <c r="H3679" s="125">
        <f>VLOOKUP(D3679,Upah,8,FALSE)</f>
        <v>150000</v>
      </c>
      <c r="I3679" s="126">
        <f>G3679*H3679</f>
        <v>20250</v>
      </c>
    </row>
    <row r="3680" spans="2:10" ht="15.95" customHeight="1" x14ac:dyDescent="0.25">
      <c r="C3680" s="122"/>
      <c r="D3680" s="117" t="s">
        <v>429</v>
      </c>
      <c r="E3680" s="123" t="s">
        <v>372</v>
      </c>
      <c r="F3680" s="123" t="s">
        <v>368</v>
      </c>
      <c r="G3680" s="124">
        <v>1.4E-2</v>
      </c>
      <c r="H3680" s="125">
        <f>VLOOKUP(D3680,Upah,8,FALSE)</f>
        <v>165000</v>
      </c>
      <c r="I3680" s="126">
        <f>G3680*H3680</f>
        <v>2310</v>
      </c>
    </row>
    <row r="3681" spans="2:10" ht="15.95" customHeight="1" thickBot="1" x14ac:dyDescent="0.3">
      <c r="C3681" s="122"/>
      <c r="D3681" s="117" t="s">
        <v>373</v>
      </c>
      <c r="E3681" s="123" t="s">
        <v>374</v>
      </c>
      <c r="F3681" s="123" t="s">
        <v>368</v>
      </c>
      <c r="G3681" s="124">
        <v>1.4E-2</v>
      </c>
      <c r="H3681" s="125">
        <f>VLOOKUP(D3681,Upah,8,FALSE)</f>
        <v>170000</v>
      </c>
      <c r="I3681" s="126">
        <f>G3681*H3681</f>
        <v>2380</v>
      </c>
    </row>
    <row r="3682" spans="2:10" ht="15.95" customHeight="1" thickBot="1" x14ac:dyDescent="0.3">
      <c r="C3682" s="132"/>
      <c r="D3682" s="133"/>
      <c r="E3682" s="134"/>
      <c r="F3682" s="134"/>
      <c r="G3682" s="135" t="s">
        <v>375</v>
      </c>
      <c r="H3682" s="136"/>
      <c r="I3682" s="137">
        <f>SUM(I3678:I3681)</f>
        <v>58690</v>
      </c>
    </row>
    <row r="3683" spans="2:10" ht="15.95" customHeight="1" x14ac:dyDescent="0.25">
      <c r="C3683" s="116" t="s">
        <v>376</v>
      </c>
      <c r="D3683" s="117" t="s">
        <v>377</v>
      </c>
      <c r="E3683" s="118"/>
      <c r="F3683" s="118"/>
      <c r="G3683" s="165"/>
      <c r="H3683" s="144"/>
      <c r="I3683" s="126"/>
    </row>
    <row r="3684" spans="2:10" ht="15.95" customHeight="1" x14ac:dyDescent="0.25">
      <c r="C3684" s="122"/>
      <c r="D3684" s="117" t="s">
        <v>966</v>
      </c>
      <c r="E3684" s="118"/>
      <c r="F3684" s="123" t="s">
        <v>418</v>
      </c>
      <c r="G3684" s="124">
        <v>26.5</v>
      </c>
      <c r="H3684" s="144">
        <f>VLOOKUP(D3684,Bahan,6,FALSE)</f>
        <v>14260</v>
      </c>
      <c r="I3684" s="126">
        <f>G3684*H3684</f>
        <v>377890</v>
      </c>
    </row>
    <row r="3685" spans="2:10" ht="15.95" customHeight="1" x14ac:dyDescent="0.25">
      <c r="C3685" s="122"/>
      <c r="D3685" s="117" t="s">
        <v>380</v>
      </c>
      <c r="E3685" s="118"/>
      <c r="F3685" s="123" t="s">
        <v>133</v>
      </c>
      <c r="G3685" s="124">
        <v>10.4</v>
      </c>
      <c r="H3685" s="144">
        <f>VLOOKUP(D3685,Bahan,6,FALSE)</f>
        <v>1880</v>
      </c>
      <c r="I3685" s="126">
        <f>G3685*H3685</f>
        <v>19552</v>
      </c>
    </row>
    <row r="3686" spans="2:10" ht="15.95" customHeight="1" x14ac:dyDescent="0.25">
      <c r="C3686" s="122"/>
      <c r="D3686" s="117" t="s">
        <v>960</v>
      </c>
      <c r="E3686" s="118"/>
      <c r="F3686" s="123" t="s">
        <v>159</v>
      </c>
      <c r="G3686" s="124">
        <v>1.62</v>
      </c>
      <c r="H3686" s="144">
        <f>VLOOKUP(D3686,Bahan,6,FALSE)</f>
        <v>2460</v>
      </c>
      <c r="I3686" s="126">
        <f>G3686*H3686</f>
        <v>3985.2000000000003</v>
      </c>
    </row>
    <row r="3687" spans="2:10" ht="15.95" customHeight="1" thickBot="1" x14ac:dyDescent="0.3">
      <c r="C3687" s="122"/>
      <c r="D3687" s="117" t="s">
        <v>493</v>
      </c>
      <c r="E3687" s="118"/>
      <c r="F3687" s="123" t="s">
        <v>489</v>
      </c>
      <c r="G3687" s="124">
        <v>4.4999999999999998E-2</v>
      </c>
      <c r="H3687" s="144">
        <f>VLOOKUP(D3687,Bahan,6,FALSE)</f>
        <v>253510</v>
      </c>
      <c r="I3687" s="126">
        <f>G3687*H3687</f>
        <v>11407.949999999999</v>
      </c>
    </row>
    <row r="3688" spans="2:10" ht="15.95" customHeight="1" thickBot="1" x14ac:dyDescent="0.3">
      <c r="C3688" s="132"/>
      <c r="D3688" s="133"/>
      <c r="E3688" s="134"/>
      <c r="F3688" s="134"/>
      <c r="G3688" s="135" t="s">
        <v>386</v>
      </c>
      <c r="H3688" s="136"/>
      <c r="I3688" s="137">
        <f>SUM(I3684:I3687)</f>
        <v>412835.15</v>
      </c>
    </row>
    <row r="3689" spans="2:10" ht="15.95" customHeight="1" thickBot="1" x14ac:dyDescent="0.3">
      <c r="C3689" s="116" t="s">
        <v>387</v>
      </c>
      <c r="D3689" s="117" t="s">
        <v>388</v>
      </c>
      <c r="E3689" s="118"/>
      <c r="F3689" s="118"/>
      <c r="G3689" s="165"/>
      <c r="H3689" s="144">
        <f>IF(AND(D3689&lt;&gt;"",F3689&lt;&gt;""),IF(C3689="",IF(F3689="OH",VLOOKUP(D3689,[1]UPAH!$B$3:$G$32,7,0),VLOOKUP(D3689,[1]BAHAN!$A$2:$D$3,4,0)),0),0)</f>
        <v>0</v>
      </c>
      <c r="I3689" s="126">
        <f>G3689*H3689</f>
        <v>0</v>
      </c>
    </row>
    <row r="3690" spans="2:10" ht="15.95" customHeight="1" thickBot="1" x14ac:dyDescent="0.3">
      <c r="C3690" s="132"/>
      <c r="D3690" s="133"/>
      <c r="E3690" s="134"/>
      <c r="F3690" s="134"/>
      <c r="G3690" s="135" t="s">
        <v>389</v>
      </c>
      <c r="H3690" s="136"/>
      <c r="I3690" s="137">
        <f>I3689</f>
        <v>0</v>
      </c>
    </row>
    <row r="3691" spans="2:10" ht="15.95" customHeight="1" x14ac:dyDescent="0.25">
      <c r="C3691" s="158" t="s">
        <v>390</v>
      </c>
      <c r="D3691" s="159" t="s">
        <v>391</v>
      </c>
      <c r="E3691" s="160"/>
      <c r="F3691" s="160"/>
      <c r="G3691" s="161"/>
      <c r="H3691" s="162">
        <f>IF(AND(D3691&lt;&gt;"",F3691&lt;&gt;""),IF(C3691="",IF(F3691="OH",VLOOKUP(D3691,[1]UPAH!$B$3:$G$32,7,0),VLOOKUP(D3691,[1]BAHAN!$A$2:$D$3,4,0)),0),0)</f>
        <v>0</v>
      </c>
      <c r="I3691" s="126">
        <f>SUM(I3678:I3690)/2</f>
        <v>471525.15</v>
      </c>
    </row>
    <row r="3692" spans="2:10" ht="15.95" customHeight="1" thickBot="1" x14ac:dyDescent="0.3">
      <c r="C3692" s="147" t="s">
        <v>392</v>
      </c>
      <c r="D3692" s="148" t="s">
        <v>393</v>
      </c>
      <c r="E3692" s="149"/>
      <c r="F3692" s="149"/>
      <c r="G3692" s="164">
        <v>0.1</v>
      </c>
      <c r="H3692" s="151"/>
      <c r="I3692" s="146">
        <f>G3692*I3691</f>
        <v>47152.515000000007</v>
      </c>
    </row>
    <row r="3693" spans="2:10" ht="15.95" customHeight="1" thickBot="1" x14ac:dyDescent="0.3">
      <c r="C3693" s="111" t="s">
        <v>394</v>
      </c>
      <c r="D3693" s="112" t="s">
        <v>395</v>
      </c>
      <c r="E3693" s="134"/>
      <c r="F3693" s="134"/>
      <c r="G3693" s="156"/>
      <c r="H3693" s="136">
        <f>IF(AND(D3693&lt;&gt;"",F3693&lt;&gt;""),IF(C3693="",IF(F3693="OH",VLOOKUP(D3693,[1]UPAH!$B$3:$G$32,7,0),VLOOKUP(D3693,[1]BAHAN!$A$2:$D$3,4,0)),0),0)</f>
        <v>0</v>
      </c>
      <c r="I3693" s="137">
        <f>ROUNDDOWN(I3691+I3692,0)</f>
        <v>518677</v>
      </c>
    </row>
    <row r="3694" spans="2:10" ht="15.95" customHeight="1" x14ac:dyDescent="0.25">
      <c r="C3694" s="109"/>
      <c r="D3694" s="109"/>
      <c r="G3694" s="157"/>
    </row>
    <row r="3695" spans="2:10" ht="15.95" customHeight="1" thickBot="1" x14ac:dyDescent="0.3">
      <c r="B3695" s="109" t="s">
        <v>967</v>
      </c>
      <c r="C3695" s="104" t="s">
        <v>968</v>
      </c>
      <c r="G3695" s="157"/>
      <c r="J3695" s="110">
        <f>I3713</f>
        <v>237461</v>
      </c>
    </row>
    <row r="3696" spans="2:10" ht="15.95" customHeight="1" thickBot="1" x14ac:dyDescent="0.3">
      <c r="C3696" s="111" t="s">
        <v>328</v>
      </c>
      <c r="D3696" s="112" t="s">
        <v>359</v>
      </c>
      <c r="E3696" s="113" t="s">
        <v>360</v>
      </c>
      <c r="F3696" s="113" t="s">
        <v>330</v>
      </c>
      <c r="G3696" s="114" t="s">
        <v>361</v>
      </c>
      <c r="H3696" s="112" t="s">
        <v>362</v>
      </c>
      <c r="I3696" s="115" t="s">
        <v>363</v>
      </c>
    </row>
    <row r="3697" spans="3:9" ht="15.95" customHeight="1" x14ac:dyDescent="0.25">
      <c r="C3697" s="116" t="s">
        <v>364</v>
      </c>
      <c r="D3697" s="117" t="s">
        <v>365</v>
      </c>
      <c r="E3697" s="118"/>
      <c r="F3697" s="118"/>
      <c r="G3697" s="165"/>
      <c r="H3697" s="144"/>
      <c r="I3697" s="126"/>
    </row>
    <row r="3698" spans="3:9" ht="15.95" customHeight="1" x14ac:dyDescent="0.25">
      <c r="C3698" s="122"/>
      <c r="D3698" s="117" t="s">
        <v>366</v>
      </c>
      <c r="E3698" s="123" t="s">
        <v>367</v>
      </c>
      <c r="F3698" s="123" t="s">
        <v>368</v>
      </c>
      <c r="G3698" s="124">
        <v>0.25</v>
      </c>
      <c r="H3698" s="125">
        <f>VLOOKUP(D3698,Upah,8,FALSE)</f>
        <v>125000</v>
      </c>
      <c r="I3698" s="126">
        <f>G3698*H3698</f>
        <v>31250</v>
      </c>
    </row>
    <row r="3699" spans="3:9" ht="15.95" customHeight="1" x14ac:dyDescent="0.25">
      <c r="C3699" s="122"/>
      <c r="D3699" s="117" t="s">
        <v>505</v>
      </c>
      <c r="E3699" s="123" t="s">
        <v>414</v>
      </c>
      <c r="F3699" s="123" t="s">
        <v>368</v>
      </c>
      <c r="G3699" s="124">
        <v>0.125</v>
      </c>
      <c r="H3699" s="125">
        <f>VLOOKUP(D3699,Upah,8,FALSE)</f>
        <v>150000</v>
      </c>
      <c r="I3699" s="126">
        <f>G3699*H3699</f>
        <v>18750</v>
      </c>
    </row>
    <row r="3700" spans="3:9" ht="15.95" customHeight="1" x14ac:dyDescent="0.25">
      <c r="C3700" s="122"/>
      <c r="D3700" s="117" t="s">
        <v>429</v>
      </c>
      <c r="E3700" s="123" t="s">
        <v>372</v>
      </c>
      <c r="F3700" s="123" t="s">
        <v>368</v>
      </c>
      <c r="G3700" s="124">
        <v>1.2999999999999999E-2</v>
      </c>
      <c r="H3700" s="125">
        <f>VLOOKUP(D3700,Upah,8,FALSE)</f>
        <v>165000</v>
      </c>
      <c r="I3700" s="126">
        <f>G3700*H3700</f>
        <v>2145</v>
      </c>
    </row>
    <row r="3701" spans="3:9" ht="15.95" customHeight="1" thickBot="1" x14ac:dyDescent="0.3">
      <c r="C3701" s="122"/>
      <c r="D3701" s="117" t="s">
        <v>373</v>
      </c>
      <c r="E3701" s="123" t="s">
        <v>374</v>
      </c>
      <c r="F3701" s="123" t="s">
        <v>368</v>
      </c>
      <c r="G3701" s="124">
        <v>1.2999999999999999E-2</v>
      </c>
      <c r="H3701" s="125">
        <f>VLOOKUP(D3701,Upah,8,FALSE)</f>
        <v>170000</v>
      </c>
      <c r="I3701" s="126">
        <f>G3701*H3701</f>
        <v>2210</v>
      </c>
    </row>
    <row r="3702" spans="3:9" ht="15.95" customHeight="1" thickBot="1" x14ac:dyDescent="0.3">
      <c r="C3702" s="132"/>
      <c r="D3702" s="133"/>
      <c r="E3702" s="134"/>
      <c r="F3702" s="134"/>
      <c r="G3702" s="135" t="s">
        <v>375</v>
      </c>
      <c r="H3702" s="136"/>
      <c r="I3702" s="137">
        <f>SUM(I3698:I3701)</f>
        <v>54355</v>
      </c>
    </row>
    <row r="3703" spans="3:9" ht="15.95" customHeight="1" x14ac:dyDescent="0.25">
      <c r="C3703" s="116" t="s">
        <v>376</v>
      </c>
      <c r="D3703" s="117" t="s">
        <v>377</v>
      </c>
      <c r="E3703" s="118"/>
      <c r="F3703" s="118"/>
      <c r="G3703" s="165"/>
      <c r="H3703" s="144"/>
      <c r="I3703" s="126"/>
    </row>
    <row r="3704" spans="3:9" ht="15.95" customHeight="1" x14ac:dyDescent="0.25">
      <c r="C3704" s="122"/>
      <c r="D3704" s="117" t="s">
        <v>969</v>
      </c>
      <c r="E3704" s="118"/>
      <c r="F3704" s="123" t="s">
        <v>418</v>
      </c>
      <c r="G3704" s="124">
        <v>6.63</v>
      </c>
      <c r="H3704" s="144">
        <f>VLOOKUP(D3704,Bahan,6,FALSE)</f>
        <v>19380</v>
      </c>
      <c r="I3704" s="126">
        <f>G3704*H3704</f>
        <v>128489.4</v>
      </c>
    </row>
    <row r="3705" spans="3:9" ht="15.95" customHeight="1" x14ac:dyDescent="0.25">
      <c r="C3705" s="122"/>
      <c r="D3705" s="117" t="s">
        <v>380</v>
      </c>
      <c r="E3705" s="118"/>
      <c r="F3705" s="123" t="s">
        <v>133</v>
      </c>
      <c r="G3705" s="124">
        <v>9.8000000000000007</v>
      </c>
      <c r="H3705" s="144">
        <f>VLOOKUP(D3705,Bahan,6,FALSE)</f>
        <v>1880</v>
      </c>
      <c r="I3705" s="126">
        <f>G3705*H3705</f>
        <v>18424</v>
      </c>
    </row>
    <row r="3706" spans="3:9" ht="15.95" customHeight="1" x14ac:dyDescent="0.25">
      <c r="C3706" s="122"/>
      <c r="D3706" s="117" t="s">
        <v>960</v>
      </c>
      <c r="E3706" s="118"/>
      <c r="F3706" s="123" t="s">
        <v>159</v>
      </c>
      <c r="G3706" s="124">
        <v>1.3</v>
      </c>
      <c r="H3706" s="144">
        <f>VLOOKUP(D3706,Bahan,6,FALSE)</f>
        <v>2460</v>
      </c>
      <c r="I3706" s="126">
        <f>G3706*H3706</f>
        <v>3198</v>
      </c>
    </row>
    <row r="3707" spans="3:9" ht="15.95" customHeight="1" thickBot="1" x14ac:dyDescent="0.3">
      <c r="C3707" s="122"/>
      <c r="D3707" s="117" t="s">
        <v>493</v>
      </c>
      <c r="E3707" s="118"/>
      <c r="F3707" s="123" t="s">
        <v>489</v>
      </c>
      <c r="G3707" s="124">
        <v>4.4999999999999998E-2</v>
      </c>
      <c r="H3707" s="144">
        <f>VLOOKUP(D3707,Bahan,6,FALSE)</f>
        <v>253510</v>
      </c>
      <c r="I3707" s="126">
        <f>G3707*H3707</f>
        <v>11407.949999999999</v>
      </c>
    </row>
    <row r="3708" spans="3:9" ht="15.95" customHeight="1" thickBot="1" x14ac:dyDescent="0.3">
      <c r="C3708" s="132"/>
      <c r="D3708" s="133"/>
      <c r="E3708" s="134"/>
      <c r="F3708" s="134"/>
      <c r="G3708" s="135" t="s">
        <v>386</v>
      </c>
      <c r="H3708" s="136"/>
      <c r="I3708" s="137">
        <f>SUM(I3704:I3707)</f>
        <v>161519.35</v>
      </c>
    </row>
    <row r="3709" spans="3:9" ht="15.95" customHeight="1" thickBot="1" x14ac:dyDescent="0.3">
      <c r="C3709" s="116" t="s">
        <v>387</v>
      </c>
      <c r="D3709" s="117" t="s">
        <v>388</v>
      </c>
      <c r="E3709" s="118"/>
      <c r="F3709" s="118"/>
      <c r="G3709" s="165"/>
      <c r="H3709" s="144">
        <f>IF(AND(D3709&lt;&gt;"",F3709&lt;&gt;""),IF(C3709="",IF(F3709="OH",VLOOKUP(D3709,[1]UPAH!$B$3:$G$32,7,0),VLOOKUP(D3709,[1]BAHAN!$A$2:$D$3,4,0)),0),0)</f>
        <v>0</v>
      </c>
      <c r="I3709" s="126">
        <f>G3709*H3709</f>
        <v>0</v>
      </c>
    </row>
    <row r="3710" spans="3:9" ht="15.95" customHeight="1" thickBot="1" x14ac:dyDescent="0.3">
      <c r="C3710" s="132"/>
      <c r="D3710" s="133"/>
      <c r="E3710" s="134"/>
      <c r="F3710" s="134"/>
      <c r="G3710" s="135" t="s">
        <v>389</v>
      </c>
      <c r="H3710" s="136"/>
      <c r="I3710" s="137">
        <f>I3709</f>
        <v>0</v>
      </c>
    </row>
    <row r="3711" spans="3:9" ht="15.95" customHeight="1" x14ac:dyDescent="0.25">
      <c r="C3711" s="158" t="s">
        <v>390</v>
      </c>
      <c r="D3711" s="159" t="s">
        <v>391</v>
      </c>
      <c r="E3711" s="160"/>
      <c r="F3711" s="160"/>
      <c r="G3711" s="161"/>
      <c r="H3711" s="162">
        <f>IF(AND(D3711&lt;&gt;"",F3711&lt;&gt;""),IF(C3711="",IF(F3711="OH",VLOOKUP(D3711,[1]UPAH!$B$3:$G$32,7,0),VLOOKUP(D3711,[1]BAHAN!$A$2:$D$3,4,0)),0),0)</f>
        <v>0</v>
      </c>
      <c r="I3711" s="126">
        <f>SUM(I3698:I3710)/2</f>
        <v>215874.34999999998</v>
      </c>
    </row>
    <row r="3712" spans="3:9" ht="15.95" customHeight="1" thickBot="1" x14ac:dyDescent="0.3">
      <c r="C3712" s="147" t="s">
        <v>392</v>
      </c>
      <c r="D3712" s="148" t="s">
        <v>393</v>
      </c>
      <c r="E3712" s="149"/>
      <c r="F3712" s="149"/>
      <c r="G3712" s="164">
        <v>0.1</v>
      </c>
      <c r="H3712" s="151"/>
      <c r="I3712" s="146">
        <f>G3712*I3711</f>
        <v>21587.434999999998</v>
      </c>
    </row>
    <row r="3713" spans="2:10" ht="15.95" customHeight="1" thickBot="1" x14ac:dyDescent="0.3">
      <c r="C3713" s="111" t="s">
        <v>394</v>
      </c>
      <c r="D3713" s="112" t="s">
        <v>395</v>
      </c>
      <c r="E3713" s="134"/>
      <c r="F3713" s="134"/>
      <c r="G3713" s="156"/>
      <c r="H3713" s="136">
        <f>IF(AND(D3713&lt;&gt;"",F3713&lt;&gt;""),IF(C3713="",IF(F3713="OH",VLOOKUP(D3713,[1]UPAH!$B$3:$G$32,7,0),VLOOKUP(D3713,[1]BAHAN!$A$2:$D$3,4,0)),0),0)</f>
        <v>0</v>
      </c>
      <c r="I3713" s="137">
        <f>ROUNDDOWN(I3711+I3712,0)</f>
        <v>237461</v>
      </c>
    </row>
    <row r="3714" spans="2:10" ht="15.95" customHeight="1" x14ac:dyDescent="0.25">
      <c r="C3714" s="109"/>
      <c r="D3714" s="109"/>
      <c r="G3714" s="157"/>
    </row>
    <row r="3715" spans="2:10" ht="15.95" customHeight="1" thickBot="1" x14ac:dyDescent="0.3">
      <c r="B3715" s="109" t="s">
        <v>970</v>
      </c>
      <c r="C3715" s="104" t="s">
        <v>971</v>
      </c>
      <c r="G3715" s="157"/>
      <c r="J3715" s="110">
        <f>I3733</f>
        <v>310801</v>
      </c>
    </row>
    <row r="3716" spans="2:10" ht="15.95" customHeight="1" thickBot="1" x14ac:dyDescent="0.3">
      <c r="C3716" s="111" t="s">
        <v>328</v>
      </c>
      <c r="D3716" s="112" t="s">
        <v>359</v>
      </c>
      <c r="E3716" s="113" t="s">
        <v>360</v>
      </c>
      <c r="F3716" s="113" t="s">
        <v>330</v>
      </c>
      <c r="G3716" s="114" t="s">
        <v>361</v>
      </c>
      <c r="H3716" s="112" t="s">
        <v>362</v>
      </c>
      <c r="I3716" s="115" t="s">
        <v>363</v>
      </c>
    </row>
    <row r="3717" spans="2:10" ht="15.95" customHeight="1" x14ac:dyDescent="0.25">
      <c r="C3717" s="116" t="s">
        <v>364</v>
      </c>
      <c r="D3717" s="117" t="s">
        <v>365</v>
      </c>
      <c r="E3717" s="118"/>
      <c r="F3717" s="118"/>
      <c r="G3717" s="165"/>
      <c r="H3717" s="144"/>
      <c r="I3717" s="126"/>
    </row>
    <row r="3718" spans="2:10" ht="15.95" customHeight="1" x14ac:dyDescent="0.25">
      <c r="C3718" s="122"/>
      <c r="D3718" s="117" t="s">
        <v>366</v>
      </c>
      <c r="E3718" s="123" t="s">
        <v>367</v>
      </c>
      <c r="F3718" s="123" t="s">
        <v>368</v>
      </c>
      <c r="G3718" s="124">
        <v>0.26</v>
      </c>
      <c r="H3718" s="125">
        <f>VLOOKUP(D3718,Upah,8,FALSE)</f>
        <v>125000</v>
      </c>
      <c r="I3718" s="126">
        <f>G3718*H3718</f>
        <v>32500</v>
      </c>
    </row>
    <row r="3719" spans="2:10" ht="15.95" customHeight="1" x14ac:dyDescent="0.25">
      <c r="C3719" s="122"/>
      <c r="D3719" s="117" t="s">
        <v>505</v>
      </c>
      <c r="E3719" s="123" t="s">
        <v>414</v>
      </c>
      <c r="F3719" s="123" t="s">
        <v>368</v>
      </c>
      <c r="G3719" s="124">
        <v>0.13</v>
      </c>
      <c r="H3719" s="125">
        <f>VLOOKUP(D3719,Upah,8,FALSE)</f>
        <v>150000</v>
      </c>
      <c r="I3719" s="126">
        <f>G3719*H3719</f>
        <v>19500</v>
      </c>
    </row>
    <row r="3720" spans="2:10" ht="15.95" customHeight="1" x14ac:dyDescent="0.25">
      <c r="C3720" s="122"/>
      <c r="D3720" s="117" t="s">
        <v>429</v>
      </c>
      <c r="E3720" s="123" t="s">
        <v>372</v>
      </c>
      <c r="F3720" s="123" t="s">
        <v>368</v>
      </c>
      <c r="G3720" s="124">
        <v>1.2999999999999999E-2</v>
      </c>
      <c r="H3720" s="125">
        <f>VLOOKUP(D3720,Upah,8,FALSE)</f>
        <v>165000</v>
      </c>
      <c r="I3720" s="126">
        <f>G3720*H3720</f>
        <v>2145</v>
      </c>
    </row>
    <row r="3721" spans="2:10" ht="15.95" customHeight="1" thickBot="1" x14ac:dyDescent="0.3">
      <c r="C3721" s="122"/>
      <c r="D3721" s="117" t="s">
        <v>373</v>
      </c>
      <c r="E3721" s="123" t="s">
        <v>374</v>
      </c>
      <c r="F3721" s="123" t="s">
        <v>368</v>
      </c>
      <c r="G3721" s="124">
        <v>1.2999999999999999E-2</v>
      </c>
      <c r="H3721" s="125">
        <f>VLOOKUP(D3721,Upah,8,FALSE)</f>
        <v>170000</v>
      </c>
      <c r="I3721" s="126">
        <f>G3721*H3721</f>
        <v>2210</v>
      </c>
    </row>
    <row r="3722" spans="2:10" ht="15.95" customHeight="1" thickBot="1" x14ac:dyDescent="0.3">
      <c r="C3722" s="132"/>
      <c r="D3722" s="133"/>
      <c r="E3722" s="134"/>
      <c r="F3722" s="134"/>
      <c r="G3722" s="135" t="s">
        <v>375</v>
      </c>
      <c r="H3722" s="136"/>
      <c r="I3722" s="137">
        <f>SUM(I3718:I3721)</f>
        <v>56355</v>
      </c>
    </row>
    <row r="3723" spans="2:10" ht="15.95" customHeight="1" x14ac:dyDescent="0.25">
      <c r="C3723" s="116" t="s">
        <v>376</v>
      </c>
      <c r="D3723" s="117" t="s">
        <v>377</v>
      </c>
      <c r="E3723" s="118"/>
      <c r="F3723" s="118"/>
      <c r="G3723" s="165"/>
      <c r="H3723" s="144"/>
      <c r="I3723" s="126"/>
    </row>
    <row r="3724" spans="2:10" ht="15.95" customHeight="1" x14ac:dyDescent="0.25">
      <c r="C3724" s="122"/>
      <c r="D3724" s="117" t="s">
        <v>972</v>
      </c>
      <c r="E3724" s="118"/>
      <c r="F3724" s="123" t="s">
        <v>418</v>
      </c>
      <c r="G3724" s="124">
        <v>11.87</v>
      </c>
      <c r="H3724" s="144">
        <f>VLOOKUP(D3724,Bahan,6,FALSE)</f>
        <v>16200</v>
      </c>
      <c r="I3724" s="126">
        <f>G3724*H3724</f>
        <v>192294</v>
      </c>
    </row>
    <row r="3725" spans="2:10" ht="15.95" customHeight="1" x14ac:dyDescent="0.25">
      <c r="C3725" s="122"/>
      <c r="D3725" s="117" t="s">
        <v>380</v>
      </c>
      <c r="E3725" s="118"/>
      <c r="F3725" s="123" t="s">
        <v>133</v>
      </c>
      <c r="G3725" s="124">
        <v>10</v>
      </c>
      <c r="H3725" s="144">
        <f>VLOOKUP(D3725,Bahan,6,FALSE)</f>
        <v>1880</v>
      </c>
      <c r="I3725" s="126">
        <f>G3725*H3725</f>
        <v>18800</v>
      </c>
    </row>
    <row r="3726" spans="2:10" ht="15.95" customHeight="1" x14ac:dyDescent="0.25">
      <c r="C3726" s="122"/>
      <c r="D3726" s="117" t="s">
        <v>960</v>
      </c>
      <c r="E3726" s="118"/>
      <c r="F3726" s="123" t="s">
        <v>159</v>
      </c>
      <c r="G3726" s="124">
        <v>1.5</v>
      </c>
      <c r="H3726" s="144">
        <f>VLOOKUP(D3726,Bahan,6,FALSE)</f>
        <v>2460</v>
      </c>
      <c r="I3726" s="126">
        <f>G3726*H3726</f>
        <v>3690</v>
      </c>
    </row>
    <row r="3727" spans="2:10" ht="15.95" customHeight="1" thickBot="1" x14ac:dyDescent="0.3">
      <c r="C3727" s="122"/>
      <c r="D3727" s="117" t="s">
        <v>493</v>
      </c>
      <c r="E3727" s="118"/>
      <c r="F3727" s="123" t="s">
        <v>489</v>
      </c>
      <c r="G3727" s="124">
        <v>4.4999999999999998E-2</v>
      </c>
      <c r="H3727" s="144">
        <f>VLOOKUP(D3727,Bahan,6,FALSE)</f>
        <v>253510</v>
      </c>
      <c r="I3727" s="126">
        <f>G3727*H3727</f>
        <v>11407.949999999999</v>
      </c>
    </row>
    <row r="3728" spans="2:10" ht="15.95" customHeight="1" thickBot="1" x14ac:dyDescent="0.3">
      <c r="C3728" s="132"/>
      <c r="D3728" s="133"/>
      <c r="E3728" s="134"/>
      <c r="F3728" s="134"/>
      <c r="G3728" s="135" t="s">
        <v>386</v>
      </c>
      <c r="H3728" s="136"/>
      <c r="I3728" s="137">
        <f>SUM(I3724:I3727)</f>
        <v>226191.95</v>
      </c>
    </row>
    <row r="3729" spans="2:10" ht="15.95" customHeight="1" thickBot="1" x14ac:dyDescent="0.3">
      <c r="C3729" s="116" t="s">
        <v>387</v>
      </c>
      <c r="D3729" s="117" t="s">
        <v>388</v>
      </c>
      <c r="E3729" s="118"/>
      <c r="F3729" s="118"/>
      <c r="G3729" s="165"/>
      <c r="H3729" s="144">
        <f>IF(AND(D3729&lt;&gt;"",F3729&lt;&gt;""),IF(C3729="",IF(F3729="OH",VLOOKUP(D3729,[1]UPAH!$B$3:$G$32,7,0),VLOOKUP(D3729,[1]BAHAN!$A$2:$D$3,4,0)),0),0)</f>
        <v>0</v>
      </c>
      <c r="I3729" s="126">
        <f>G3729*H3729</f>
        <v>0</v>
      </c>
    </row>
    <row r="3730" spans="2:10" ht="15.95" customHeight="1" thickBot="1" x14ac:dyDescent="0.3">
      <c r="C3730" s="132"/>
      <c r="D3730" s="133"/>
      <c r="E3730" s="134"/>
      <c r="F3730" s="134"/>
      <c r="G3730" s="135" t="s">
        <v>389</v>
      </c>
      <c r="H3730" s="136"/>
      <c r="I3730" s="137">
        <f>I3729</f>
        <v>0</v>
      </c>
    </row>
    <row r="3731" spans="2:10" ht="15.95" customHeight="1" x14ac:dyDescent="0.25">
      <c r="C3731" s="158" t="s">
        <v>390</v>
      </c>
      <c r="D3731" s="159" t="s">
        <v>391</v>
      </c>
      <c r="E3731" s="160"/>
      <c r="F3731" s="160"/>
      <c r="G3731" s="161"/>
      <c r="H3731" s="162">
        <f>IF(AND(D3731&lt;&gt;"",F3731&lt;&gt;""),IF(C3731="",IF(F3731="OH",VLOOKUP(D3731,[1]UPAH!$B$3:$G$32,7,0),VLOOKUP(D3731,[1]BAHAN!$A$2:$D$3,4,0)),0),0)</f>
        <v>0</v>
      </c>
      <c r="I3731" s="126">
        <f>SUM(I3718:I3730)/2</f>
        <v>282546.95</v>
      </c>
    </row>
    <row r="3732" spans="2:10" ht="15.95" customHeight="1" thickBot="1" x14ac:dyDescent="0.3">
      <c r="C3732" s="147" t="s">
        <v>392</v>
      </c>
      <c r="D3732" s="148" t="s">
        <v>393</v>
      </c>
      <c r="E3732" s="149"/>
      <c r="F3732" s="149"/>
      <c r="G3732" s="164">
        <v>0.1</v>
      </c>
      <c r="H3732" s="151"/>
      <c r="I3732" s="146">
        <f>G3732*I3731</f>
        <v>28254.695000000003</v>
      </c>
    </row>
    <row r="3733" spans="2:10" ht="15.95" customHeight="1" thickBot="1" x14ac:dyDescent="0.3">
      <c r="C3733" s="111" t="s">
        <v>394</v>
      </c>
      <c r="D3733" s="112" t="s">
        <v>395</v>
      </c>
      <c r="E3733" s="134"/>
      <c r="F3733" s="134"/>
      <c r="G3733" s="156"/>
      <c r="H3733" s="136">
        <f>IF(AND(D3733&lt;&gt;"",F3733&lt;&gt;""),IF(C3733="",IF(F3733="OH",VLOOKUP(D3733,[1]UPAH!$B$3:$G$32,7,0),VLOOKUP(D3733,[1]BAHAN!$A$2:$D$3,4,0)),0),0)</f>
        <v>0</v>
      </c>
      <c r="I3733" s="137">
        <f>ROUNDDOWN(I3731+I3732,0)</f>
        <v>310801</v>
      </c>
    </row>
    <row r="3734" spans="2:10" ht="15.95" customHeight="1" x14ac:dyDescent="0.25">
      <c r="C3734" s="109"/>
      <c r="D3734" s="109"/>
      <c r="G3734" s="157"/>
    </row>
    <row r="3735" spans="2:10" ht="15.95" customHeight="1" thickBot="1" x14ac:dyDescent="0.3">
      <c r="B3735" s="109" t="s">
        <v>973</v>
      </c>
      <c r="C3735" s="104" t="s">
        <v>974</v>
      </c>
      <c r="G3735" s="157"/>
      <c r="J3735" s="110">
        <f>I3753</f>
        <v>275531</v>
      </c>
    </row>
    <row r="3736" spans="2:10" ht="15.95" customHeight="1" thickBot="1" x14ac:dyDescent="0.3">
      <c r="C3736" s="111" t="s">
        <v>328</v>
      </c>
      <c r="D3736" s="112" t="s">
        <v>359</v>
      </c>
      <c r="E3736" s="113" t="s">
        <v>360</v>
      </c>
      <c r="F3736" s="113" t="s">
        <v>330</v>
      </c>
      <c r="G3736" s="114" t="s">
        <v>361</v>
      </c>
      <c r="H3736" s="112" t="s">
        <v>362</v>
      </c>
      <c r="I3736" s="115" t="s">
        <v>363</v>
      </c>
    </row>
    <row r="3737" spans="2:10" ht="15.95" customHeight="1" x14ac:dyDescent="0.25">
      <c r="C3737" s="158" t="s">
        <v>364</v>
      </c>
      <c r="D3737" s="159" t="s">
        <v>365</v>
      </c>
      <c r="E3737" s="160"/>
      <c r="F3737" s="160"/>
      <c r="G3737" s="161"/>
      <c r="H3737" s="162"/>
      <c r="I3737" s="163"/>
    </row>
    <row r="3738" spans="2:10" ht="15.95" customHeight="1" x14ac:dyDescent="0.25">
      <c r="C3738" s="122"/>
      <c r="D3738" s="117" t="s">
        <v>366</v>
      </c>
      <c r="E3738" s="123" t="s">
        <v>367</v>
      </c>
      <c r="F3738" s="123" t="s">
        <v>368</v>
      </c>
      <c r="G3738" s="124">
        <v>0.25</v>
      </c>
      <c r="H3738" s="125">
        <f>VLOOKUP(D3738,Upah,8,FALSE)</f>
        <v>125000</v>
      </c>
      <c r="I3738" s="126">
        <f>G3738*H3738</f>
        <v>31250</v>
      </c>
    </row>
    <row r="3739" spans="2:10" ht="15.95" customHeight="1" x14ac:dyDescent="0.25">
      <c r="C3739" s="122"/>
      <c r="D3739" s="117" t="s">
        <v>505</v>
      </c>
      <c r="E3739" s="123" t="s">
        <v>414</v>
      </c>
      <c r="F3739" s="123" t="s">
        <v>368</v>
      </c>
      <c r="G3739" s="124">
        <v>0.125</v>
      </c>
      <c r="H3739" s="125">
        <f>VLOOKUP(D3739,Upah,8,FALSE)</f>
        <v>150000</v>
      </c>
      <c r="I3739" s="126">
        <f>G3739*H3739</f>
        <v>18750</v>
      </c>
    </row>
    <row r="3740" spans="2:10" ht="15.95" customHeight="1" x14ac:dyDescent="0.25">
      <c r="C3740" s="122"/>
      <c r="D3740" s="117" t="s">
        <v>429</v>
      </c>
      <c r="E3740" s="123" t="s">
        <v>372</v>
      </c>
      <c r="F3740" s="123" t="s">
        <v>368</v>
      </c>
      <c r="G3740" s="124">
        <v>1.2999999999999999E-2</v>
      </c>
      <c r="H3740" s="125">
        <f>VLOOKUP(D3740,Upah,8,FALSE)</f>
        <v>165000</v>
      </c>
      <c r="I3740" s="126">
        <f>G3740*H3740</f>
        <v>2145</v>
      </c>
    </row>
    <row r="3741" spans="2:10" ht="15.95" customHeight="1" thickBot="1" x14ac:dyDescent="0.3">
      <c r="C3741" s="122"/>
      <c r="D3741" s="117" t="s">
        <v>373</v>
      </c>
      <c r="E3741" s="123" t="s">
        <v>374</v>
      </c>
      <c r="F3741" s="123" t="s">
        <v>368</v>
      </c>
      <c r="G3741" s="124">
        <v>1.2999999999999999E-2</v>
      </c>
      <c r="H3741" s="125">
        <f>VLOOKUP(D3741,Upah,8,FALSE)</f>
        <v>170000</v>
      </c>
      <c r="I3741" s="126">
        <f>G3741*H3741</f>
        <v>2210</v>
      </c>
    </row>
    <row r="3742" spans="2:10" ht="15.95" customHeight="1" thickBot="1" x14ac:dyDescent="0.3">
      <c r="C3742" s="132"/>
      <c r="D3742" s="133"/>
      <c r="E3742" s="134"/>
      <c r="F3742" s="134"/>
      <c r="G3742" s="135" t="s">
        <v>375</v>
      </c>
      <c r="H3742" s="136"/>
      <c r="I3742" s="137">
        <f>SUM(I3738:I3741)</f>
        <v>54355</v>
      </c>
    </row>
    <row r="3743" spans="2:10" ht="15.95" customHeight="1" x14ac:dyDescent="0.25">
      <c r="C3743" s="116" t="s">
        <v>376</v>
      </c>
      <c r="D3743" s="117" t="s">
        <v>377</v>
      </c>
      <c r="E3743" s="118"/>
      <c r="F3743" s="118"/>
      <c r="G3743" s="165"/>
      <c r="H3743" s="144"/>
      <c r="I3743" s="126"/>
    </row>
    <row r="3744" spans="2:10" ht="15.95" customHeight="1" x14ac:dyDescent="0.25">
      <c r="C3744" s="122"/>
      <c r="D3744" s="117" t="s">
        <v>975</v>
      </c>
      <c r="E3744" s="118"/>
      <c r="F3744" s="123" t="s">
        <v>418</v>
      </c>
      <c r="G3744" s="124">
        <v>6.63</v>
      </c>
      <c r="H3744" s="144">
        <f>VLOOKUP(D3744,Bahan,6,FALSE)</f>
        <v>24600</v>
      </c>
      <c r="I3744" s="126">
        <f>G3744*H3744</f>
        <v>163098</v>
      </c>
    </row>
    <row r="3745" spans="2:10" ht="15.95" customHeight="1" x14ac:dyDescent="0.25">
      <c r="C3745" s="122"/>
      <c r="D3745" s="117" t="s">
        <v>380</v>
      </c>
      <c r="E3745" s="118"/>
      <c r="F3745" s="123" t="s">
        <v>133</v>
      </c>
      <c r="G3745" s="124">
        <v>9.8000000000000007</v>
      </c>
      <c r="H3745" s="144">
        <f>VLOOKUP(D3745,Bahan,6,FALSE)</f>
        <v>1880</v>
      </c>
      <c r="I3745" s="126">
        <f>G3745*H3745</f>
        <v>18424</v>
      </c>
    </row>
    <row r="3746" spans="2:10" ht="15.95" customHeight="1" x14ac:dyDescent="0.25">
      <c r="C3746" s="122"/>
      <c r="D3746" s="117" t="s">
        <v>960</v>
      </c>
      <c r="E3746" s="118"/>
      <c r="F3746" s="123" t="s">
        <v>159</v>
      </c>
      <c r="G3746" s="124">
        <v>1.3</v>
      </c>
      <c r="H3746" s="144">
        <f>VLOOKUP(D3746,Bahan,6,FALSE)</f>
        <v>2460</v>
      </c>
      <c r="I3746" s="126">
        <f>G3746*H3746</f>
        <v>3198</v>
      </c>
    </row>
    <row r="3747" spans="2:10" ht="15.95" customHeight="1" thickBot="1" x14ac:dyDescent="0.3">
      <c r="C3747" s="122"/>
      <c r="D3747" s="117" t="s">
        <v>493</v>
      </c>
      <c r="E3747" s="118"/>
      <c r="F3747" s="123" t="s">
        <v>489</v>
      </c>
      <c r="G3747" s="124">
        <v>4.4999999999999998E-2</v>
      </c>
      <c r="H3747" s="144">
        <f>VLOOKUP(D3747,Bahan,6,FALSE)</f>
        <v>253510</v>
      </c>
      <c r="I3747" s="126">
        <f>G3747*H3747</f>
        <v>11407.949999999999</v>
      </c>
    </row>
    <row r="3748" spans="2:10" ht="15.95" customHeight="1" thickBot="1" x14ac:dyDescent="0.3">
      <c r="C3748" s="132"/>
      <c r="D3748" s="133"/>
      <c r="E3748" s="134"/>
      <c r="F3748" s="134"/>
      <c r="G3748" s="135" t="s">
        <v>386</v>
      </c>
      <c r="H3748" s="136"/>
      <c r="I3748" s="137">
        <f>SUM(I3744:I3747)</f>
        <v>196127.95</v>
      </c>
    </row>
    <row r="3749" spans="2:10" ht="15.95" customHeight="1" thickBot="1" x14ac:dyDescent="0.3">
      <c r="C3749" s="116" t="s">
        <v>387</v>
      </c>
      <c r="D3749" s="117" t="s">
        <v>388</v>
      </c>
      <c r="E3749" s="118"/>
      <c r="F3749" s="118"/>
      <c r="G3749" s="165"/>
      <c r="H3749" s="144">
        <f>IF(AND(D3749&lt;&gt;"",F3749&lt;&gt;""),IF(C3749="",IF(F3749="OH",VLOOKUP(D3749,[1]UPAH!$B$3:$G$32,7,0),VLOOKUP(D3749,[1]BAHAN!$A$2:$D$3,4,0)),0),0)</f>
        <v>0</v>
      </c>
      <c r="I3749" s="126">
        <f>G3749*H3749</f>
        <v>0</v>
      </c>
    </row>
    <row r="3750" spans="2:10" ht="15.95" customHeight="1" thickBot="1" x14ac:dyDescent="0.3">
      <c r="C3750" s="132"/>
      <c r="D3750" s="133"/>
      <c r="E3750" s="134"/>
      <c r="F3750" s="134"/>
      <c r="G3750" s="135" t="s">
        <v>389</v>
      </c>
      <c r="H3750" s="136"/>
      <c r="I3750" s="137">
        <f>I3749</f>
        <v>0</v>
      </c>
    </row>
    <row r="3751" spans="2:10" ht="15.95" customHeight="1" x14ac:dyDescent="0.25">
      <c r="C3751" s="158" t="s">
        <v>390</v>
      </c>
      <c r="D3751" s="159" t="s">
        <v>391</v>
      </c>
      <c r="E3751" s="160"/>
      <c r="F3751" s="160"/>
      <c r="G3751" s="161"/>
      <c r="H3751" s="162">
        <f>IF(AND(D3751&lt;&gt;"",F3751&lt;&gt;""),IF(C3751="",IF(F3751="OH",VLOOKUP(D3751,[1]UPAH!$B$3:$G$32,7,0),VLOOKUP(D3751,[1]BAHAN!$A$2:$D$3,4,0)),0),0)</f>
        <v>0</v>
      </c>
      <c r="I3751" s="126">
        <f>SUM(I3738:I3750)/2</f>
        <v>250482.95</v>
      </c>
    </row>
    <row r="3752" spans="2:10" ht="15.95" customHeight="1" thickBot="1" x14ac:dyDescent="0.3">
      <c r="C3752" s="147" t="s">
        <v>392</v>
      </c>
      <c r="D3752" s="148" t="s">
        <v>393</v>
      </c>
      <c r="E3752" s="149"/>
      <c r="F3752" s="149"/>
      <c r="G3752" s="164">
        <v>0.1</v>
      </c>
      <c r="H3752" s="151"/>
      <c r="I3752" s="146">
        <f>G3752*I3751</f>
        <v>25048.295000000002</v>
      </c>
    </row>
    <row r="3753" spans="2:10" ht="15.95" customHeight="1" thickBot="1" x14ac:dyDescent="0.3">
      <c r="C3753" s="111" t="s">
        <v>394</v>
      </c>
      <c r="D3753" s="112" t="s">
        <v>395</v>
      </c>
      <c r="E3753" s="134"/>
      <c r="F3753" s="134"/>
      <c r="G3753" s="156"/>
      <c r="H3753" s="136">
        <f>IF(AND(D3753&lt;&gt;"",F3753&lt;&gt;""),IF(C3753="",IF(F3753="OH",VLOOKUP(D3753,[1]UPAH!$B$3:$G$32,7,0),VLOOKUP(D3753,[1]BAHAN!$A$2:$D$3,4,0)),0),0)</f>
        <v>0</v>
      </c>
      <c r="I3753" s="137">
        <f>ROUNDDOWN(I3751+I3752,0)</f>
        <v>275531</v>
      </c>
    </row>
    <row r="3754" spans="2:10" ht="15.95" customHeight="1" x14ac:dyDescent="0.25">
      <c r="C3754" s="109"/>
      <c r="D3754" s="109"/>
      <c r="G3754" s="157"/>
    </row>
    <row r="3755" spans="2:10" ht="15.95" customHeight="1" thickBot="1" x14ac:dyDescent="0.3">
      <c r="B3755" s="109" t="s">
        <v>976</v>
      </c>
      <c r="C3755" s="104" t="s">
        <v>977</v>
      </c>
      <c r="G3755" s="157"/>
      <c r="J3755" s="110">
        <f>I3773</f>
        <v>358329</v>
      </c>
    </row>
    <row r="3756" spans="2:10" ht="15.95" customHeight="1" thickBot="1" x14ac:dyDescent="0.3">
      <c r="C3756" s="111" t="s">
        <v>328</v>
      </c>
      <c r="D3756" s="112" t="s">
        <v>359</v>
      </c>
      <c r="E3756" s="113" t="s">
        <v>360</v>
      </c>
      <c r="F3756" s="113" t="s">
        <v>330</v>
      </c>
      <c r="G3756" s="114" t="s">
        <v>361</v>
      </c>
      <c r="H3756" s="112" t="s">
        <v>362</v>
      </c>
      <c r="I3756" s="115" t="s">
        <v>363</v>
      </c>
    </row>
    <row r="3757" spans="2:10" ht="15.95" customHeight="1" x14ac:dyDescent="0.25">
      <c r="C3757" s="116" t="s">
        <v>364</v>
      </c>
      <c r="D3757" s="117" t="s">
        <v>365</v>
      </c>
      <c r="E3757" s="118"/>
      <c r="F3757" s="118"/>
      <c r="G3757" s="165"/>
      <c r="H3757" s="144"/>
      <c r="I3757" s="126"/>
    </row>
    <row r="3758" spans="2:10" ht="15.95" customHeight="1" x14ac:dyDescent="0.25">
      <c r="C3758" s="122"/>
      <c r="D3758" s="117" t="s">
        <v>366</v>
      </c>
      <c r="E3758" s="123" t="s">
        <v>367</v>
      </c>
      <c r="F3758" s="123" t="s">
        <v>368</v>
      </c>
      <c r="G3758" s="124">
        <v>0.26</v>
      </c>
      <c r="H3758" s="125">
        <f>VLOOKUP(D3758,Upah,8,FALSE)</f>
        <v>125000</v>
      </c>
      <c r="I3758" s="126">
        <f>G3758*H3758</f>
        <v>32500</v>
      </c>
    </row>
    <row r="3759" spans="2:10" ht="15.95" customHeight="1" x14ac:dyDescent="0.25">
      <c r="C3759" s="122"/>
      <c r="D3759" s="117" t="s">
        <v>505</v>
      </c>
      <c r="E3759" s="123" t="s">
        <v>414</v>
      </c>
      <c r="F3759" s="123" t="s">
        <v>368</v>
      </c>
      <c r="G3759" s="124">
        <v>0.13</v>
      </c>
      <c r="H3759" s="125">
        <f>VLOOKUP(D3759,Upah,8,FALSE)</f>
        <v>150000</v>
      </c>
      <c r="I3759" s="126">
        <f>G3759*H3759</f>
        <v>19500</v>
      </c>
    </row>
    <row r="3760" spans="2:10" ht="15.95" customHeight="1" x14ac:dyDescent="0.25">
      <c r="C3760" s="122"/>
      <c r="D3760" s="117" t="s">
        <v>429</v>
      </c>
      <c r="E3760" s="123" t="s">
        <v>372</v>
      </c>
      <c r="F3760" s="123" t="s">
        <v>368</v>
      </c>
      <c r="G3760" s="124">
        <v>1.2999999999999999E-2</v>
      </c>
      <c r="H3760" s="125">
        <f>VLOOKUP(D3760,Upah,8,FALSE)</f>
        <v>165000</v>
      </c>
      <c r="I3760" s="126">
        <f>G3760*H3760</f>
        <v>2145</v>
      </c>
    </row>
    <row r="3761" spans="2:10" ht="15.95" customHeight="1" thickBot="1" x14ac:dyDescent="0.3">
      <c r="C3761" s="122"/>
      <c r="D3761" s="117" t="s">
        <v>373</v>
      </c>
      <c r="E3761" s="123" t="s">
        <v>374</v>
      </c>
      <c r="F3761" s="123" t="s">
        <v>368</v>
      </c>
      <c r="G3761" s="124">
        <v>1.2999999999999999E-2</v>
      </c>
      <c r="H3761" s="125">
        <f>VLOOKUP(D3761,Upah,8,FALSE)</f>
        <v>170000</v>
      </c>
      <c r="I3761" s="126">
        <f>G3761*H3761</f>
        <v>2210</v>
      </c>
    </row>
    <row r="3762" spans="2:10" ht="15.95" customHeight="1" thickBot="1" x14ac:dyDescent="0.3">
      <c r="C3762" s="132"/>
      <c r="D3762" s="133"/>
      <c r="E3762" s="134"/>
      <c r="F3762" s="134"/>
      <c r="G3762" s="135" t="s">
        <v>375</v>
      </c>
      <c r="H3762" s="136"/>
      <c r="I3762" s="137">
        <f>SUM(I3758:I3761)</f>
        <v>56355</v>
      </c>
    </row>
    <row r="3763" spans="2:10" ht="15.95" customHeight="1" x14ac:dyDescent="0.25">
      <c r="C3763" s="116" t="s">
        <v>376</v>
      </c>
      <c r="D3763" s="117" t="s">
        <v>377</v>
      </c>
      <c r="E3763" s="118"/>
      <c r="F3763" s="118"/>
      <c r="G3763" s="165"/>
      <c r="H3763" s="144"/>
      <c r="I3763" s="126"/>
    </row>
    <row r="3764" spans="2:10" ht="15.95" customHeight="1" x14ac:dyDescent="0.25">
      <c r="C3764" s="122"/>
      <c r="D3764" s="117" t="s">
        <v>978</v>
      </c>
      <c r="E3764" s="118"/>
      <c r="F3764" s="123" t="s">
        <v>418</v>
      </c>
      <c r="G3764" s="124">
        <v>11.87</v>
      </c>
      <c r="H3764" s="144">
        <f>VLOOKUP(D3764,Bahan,6,FALSE)</f>
        <v>19840</v>
      </c>
      <c r="I3764" s="126">
        <f>G3764*H3764</f>
        <v>235500.79999999999</v>
      </c>
    </row>
    <row r="3765" spans="2:10" ht="15.95" customHeight="1" x14ac:dyDescent="0.25">
      <c r="C3765" s="122"/>
      <c r="D3765" s="117" t="s">
        <v>380</v>
      </c>
      <c r="E3765" s="118"/>
      <c r="F3765" s="123" t="s">
        <v>133</v>
      </c>
      <c r="G3765" s="124">
        <v>10</v>
      </c>
      <c r="H3765" s="144">
        <f>VLOOKUP(D3765,Bahan,6,FALSE)</f>
        <v>1880</v>
      </c>
      <c r="I3765" s="126">
        <f>G3765*H3765</f>
        <v>18800</v>
      </c>
    </row>
    <row r="3766" spans="2:10" ht="15.95" customHeight="1" x14ac:dyDescent="0.25">
      <c r="C3766" s="122"/>
      <c r="D3766" s="117" t="s">
        <v>960</v>
      </c>
      <c r="E3766" s="118"/>
      <c r="F3766" s="123" t="s">
        <v>159</v>
      </c>
      <c r="G3766" s="124">
        <v>1.5</v>
      </c>
      <c r="H3766" s="144">
        <f>VLOOKUP(D3766,Bahan,6,FALSE)</f>
        <v>2460</v>
      </c>
      <c r="I3766" s="126">
        <f>G3766*H3766</f>
        <v>3690</v>
      </c>
    </row>
    <row r="3767" spans="2:10" ht="15.95" customHeight="1" thickBot="1" x14ac:dyDescent="0.3">
      <c r="C3767" s="122"/>
      <c r="D3767" s="117" t="s">
        <v>493</v>
      </c>
      <c r="E3767" s="118"/>
      <c r="F3767" s="123" t="s">
        <v>489</v>
      </c>
      <c r="G3767" s="124">
        <v>4.4999999999999998E-2</v>
      </c>
      <c r="H3767" s="144">
        <f>VLOOKUP(D3767,Bahan,6,FALSE)</f>
        <v>253510</v>
      </c>
      <c r="I3767" s="126">
        <f>G3767*H3767</f>
        <v>11407.949999999999</v>
      </c>
    </row>
    <row r="3768" spans="2:10" ht="15.95" customHeight="1" thickBot="1" x14ac:dyDescent="0.3">
      <c r="C3768" s="132"/>
      <c r="D3768" s="133"/>
      <c r="E3768" s="134"/>
      <c r="F3768" s="134"/>
      <c r="G3768" s="135" t="s">
        <v>386</v>
      </c>
      <c r="H3768" s="136"/>
      <c r="I3768" s="137">
        <f>SUM(I3764:I3767)</f>
        <v>269398.75</v>
      </c>
    </row>
    <row r="3769" spans="2:10" ht="15.95" customHeight="1" thickBot="1" x14ac:dyDescent="0.3">
      <c r="C3769" s="116" t="s">
        <v>387</v>
      </c>
      <c r="D3769" s="117" t="s">
        <v>388</v>
      </c>
      <c r="E3769" s="118"/>
      <c r="F3769" s="118"/>
      <c r="G3769" s="165"/>
      <c r="H3769" s="144">
        <f>IF(AND(D3769&lt;&gt;"",F3769&lt;&gt;""),IF(C3769="",IF(F3769="OH",VLOOKUP(D3769,[1]UPAH!$B$3:$G$32,7,0),VLOOKUP(D3769,[1]BAHAN!$A$2:$D$3,4,0)),0),0)</f>
        <v>0</v>
      </c>
      <c r="I3769" s="126">
        <f>G3769*H3769</f>
        <v>0</v>
      </c>
    </row>
    <row r="3770" spans="2:10" ht="15.95" customHeight="1" thickBot="1" x14ac:dyDescent="0.3">
      <c r="C3770" s="132"/>
      <c r="D3770" s="133"/>
      <c r="E3770" s="134"/>
      <c r="F3770" s="134"/>
      <c r="G3770" s="135" t="s">
        <v>389</v>
      </c>
      <c r="H3770" s="136"/>
      <c r="I3770" s="137">
        <f>I3769</f>
        <v>0</v>
      </c>
    </row>
    <row r="3771" spans="2:10" ht="15.95" customHeight="1" x14ac:dyDescent="0.25">
      <c r="C3771" s="158" t="s">
        <v>390</v>
      </c>
      <c r="D3771" s="159" t="s">
        <v>391</v>
      </c>
      <c r="E3771" s="160"/>
      <c r="F3771" s="160"/>
      <c r="G3771" s="161"/>
      <c r="H3771" s="162">
        <f>IF(AND(D3771&lt;&gt;"",F3771&lt;&gt;""),IF(C3771="",IF(F3771="OH",VLOOKUP(D3771,[1]UPAH!$B$3:$G$32,7,0),VLOOKUP(D3771,[1]BAHAN!$A$2:$D$3,4,0)),0),0)</f>
        <v>0</v>
      </c>
      <c r="I3771" s="126">
        <f>SUM(I3758:I3770)/2</f>
        <v>325753.75</v>
      </c>
    </row>
    <row r="3772" spans="2:10" ht="15.95" customHeight="1" thickBot="1" x14ac:dyDescent="0.3">
      <c r="C3772" s="147" t="s">
        <v>392</v>
      </c>
      <c r="D3772" s="148" t="s">
        <v>393</v>
      </c>
      <c r="E3772" s="149"/>
      <c r="F3772" s="149"/>
      <c r="G3772" s="164">
        <v>0.1</v>
      </c>
      <c r="H3772" s="151"/>
      <c r="I3772" s="146">
        <f>G3772*I3771</f>
        <v>32575.375</v>
      </c>
    </row>
    <row r="3773" spans="2:10" ht="15.95" customHeight="1" thickBot="1" x14ac:dyDescent="0.3">
      <c r="C3773" s="111" t="s">
        <v>394</v>
      </c>
      <c r="D3773" s="112" t="s">
        <v>395</v>
      </c>
      <c r="E3773" s="134"/>
      <c r="F3773" s="134"/>
      <c r="G3773" s="156"/>
      <c r="H3773" s="136">
        <f>IF(AND(D3773&lt;&gt;"",F3773&lt;&gt;""),IF(C3773="",IF(F3773="OH",VLOOKUP(D3773,[1]UPAH!$B$3:$G$32,7,0),VLOOKUP(D3773,[1]BAHAN!$A$2:$D$3,4,0)),0),0)</f>
        <v>0</v>
      </c>
      <c r="I3773" s="137">
        <f>ROUNDDOWN(I3771+I3772,0)</f>
        <v>358329</v>
      </c>
    </row>
    <row r="3774" spans="2:10" ht="15.95" customHeight="1" x14ac:dyDescent="0.25">
      <c r="C3774" s="109"/>
      <c r="D3774" s="109"/>
      <c r="G3774" s="157"/>
    </row>
    <row r="3775" spans="2:10" ht="15.95" customHeight="1" thickBot="1" x14ac:dyDescent="0.3">
      <c r="B3775" s="109" t="s">
        <v>979</v>
      </c>
      <c r="C3775" s="104" t="s">
        <v>980</v>
      </c>
      <c r="G3775" s="157"/>
      <c r="J3775" s="110">
        <f>I3793</f>
        <v>196766</v>
      </c>
    </row>
    <row r="3776" spans="2:10" ht="15.95" customHeight="1" thickBot="1" x14ac:dyDescent="0.3">
      <c r="C3776" s="111" t="s">
        <v>328</v>
      </c>
      <c r="D3776" s="112" t="s">
        <v>359</v>
      </c>
      <c r="E3776" s="113" t="s">
        <v>360</v>
      </c>
      <c r="F3776" s="113" t="s">
        <v>330</v>
      </c>
      <c r="G3776" s="114" t="s">
        <v>361</v>
      </c>
      <c r="H3776" s="112" t="s">
        <v>362</v>
      </c>
      <c r="I3776" s="115" t="s">
        <v>363</v>
      </c>
    </row>
    <row r="3777" spans="3:9" ht="15.95" customHeight="1" x14ac:dyDescent="0.25">
      <c r="C3777" s="116" t="s">
        <v>364</v>
      </c>
      <c r="D3777" s="117" t="s">
        <v>365</v>
      </c>
      <c r="E3777" s="118"/>
      <c r="F3777" s="118"/>
      <c r="G3777" s="165"/>
      <c r="H3777" s="144"/>
      <c r="I3777" s="126"/>
    </row>
    <row r="3778" spans="3:9" ht="15.95" customHeight="1" x14ac:dyDescent="0.25">
      <c r="C3778" s="122"/>
      <c r="D3778" s="117" t="s">
        <v>366</v>
      </c>
      <c r="E3778" s="123" t="s">
        <v>367</v>
      </c>
      <c r="F3778" s="123" t="s">
        <v>368</v>
      </c>
      <c r="G3778" s="124">
        <v>0.25</v>
      </c>
      <c r="H3778" s="125">
        <f>VLOOKUP(D3778,Upah,8,FALSE)</f>
        <v>125000</v>
      </c>
      <c r="I3778" s="126">
        <f>G3778*H3778</f>
        <v>31250</v>
      </c>
    </row>
    <row r="3779" spans="3:9" ht="15.95" customHeight="1" x14ac:dyDescent="0.25">
      <c r="C3779" s="122"/>
      <c r="D3779" s="117" t="s">
        <v>505</v>
      </c>
      <c r="E3779" s="123" t="s">
        <v>414</v>
      </c>
      <c r="F3779" s="123" t="s">
        <v>368</v>
      </c>
      <c r="G3779" s="124">
        <v>0.125</v>
      </c>
      <c r="H3779" s="125">
        <f>VLOOKUP(D3779,Upah,8,FALSE)</f>
        <v>150000</v>
      </c>
      <c r="I3779" s="126">
        <f>G3779*H3779</f>
        <v>18750</v>
      </c>
    </row>
    <row r="3780" spans="3:9" ht="15.95" customHeight="1" x14ac:dyDescent="0.25">
      <c r="C3780" s="122"/>
      <c r="D3780" s="117" t="s">
        <v>429</v>
      </c>
      <c r="E3780" s="123" t="s">
        <v>372</v>
      </c>
      <c r="F3780" s="123" t="s">
        <v>368</v>
      </c>
      <c r="G3780" s="124">
        <v>1.2999999999999999E-2</v>
      </c>
      <c r="H3780" s="125">
        <f>VLOOKUP(D3780,Upah,8,FALSE)</f>
        <v>165000</v>
      </c>
      <c r="I3780" s="126">
        <f>G3780*H3780</f>
        <v>2145</v>
      </c>
    </row>
    <row r="3781" spans="3:9" ht="15.95" customHeight="1" thickBot="1" x14ac:dyDescent="0.3">
      <c r="C3781" s="122"/>
      <c r="D3781" s="117" t="s">
        <v>373</v>
      </c>
      <c r="E3781" s="123" t="s">
        <v>374</v>
      </c>
      <c r="F3781" s="123" t="s">
        <v>368</v>
      </c>
      <c r="G3781" s="124">
        <v>1.2999999999999999E-2</v>
      </c>
      <c r="H3781" s="125">
        <f>VLOOKUP(D3781,Upah,8,FALSE)</f>
        <v>170000</v>
      </c>
      <c r="I3781" s="126">
        <f>G3781*H3781</f>
        <v>2210</v>
      </c>
    </row>
    <row r="3782" spans="3:9" ht="15.95" customHeight="1" thickBot="1" x14ac:dyDescent="0.3">
      <c r="C3782" s="132"/>
      <c r="D3782" s="133"/>
      <c r="E3782" s="134"/>
      <c r="F3782" s="134"/>
      <c r="G3782" s="135" t="s">
        <v>375</v>
      </c>
      <c r="H3782" s="136"/>
      <c r="I3782" s="137">
        <f>SUM(I3778:I3781)</f>
        <v>54355</v>
      </c>
    </row>
    <row r="3783" spans="3:9" ht="15.95" customHeight="1" x14ac:dyDescent="0.25">
      <c r="C3783" s="116" t="s">
        <v>376</v>
      </c>
      <c r="D3783" s="117" t="s">
        <v>377</v>
      </c>
      <c r="E3783" s="118"/>
      <c r="F3783" s="118"/>
      <c r="G3783" s="165"/>
      <c r="H3783" s="144"/>
      <c r="I3783" s="126"/>
    </row>
    <row r="3784" spans="3:9" ht="15.95" customHeight="1" x14ac:dyDescent="0.25">
      <c r="C3784" s="122"/>
      <c r="D3784" s="117" t="s">
        <v>981</v>
      </c>
      <c r="E3784" s="118"/>
      <c r="F3784" s="123" t="s">
        <v>418</v>
      </c>
      <c r="G3784" s="124">
        <v>6.63</v>
      </c>
      <c r="H3784" s="144">
        <f>VLOOKUP(D3784,Bahan,6,FALSE)</f>
        <v>13800</v>
      </c>
      <c r="I3784" s="126">
        <f>G3784*H3784</f>
        <v>91494</v>
      </c>
    </row>
    <row r="3785" spans="3:9" ht="15.95" customHeight="1" x14ac:dyDescent="0.25">
      <c r="C3785" s="122"/>
      <c r="D3785" s="117" t="s">
        <v>380</v>
      </c>
      <c r="E3785" s="118"/>
      <c r="F3785" s="123" t="s">
        <v>133</v>
      </c>
      <c r="G3785" s="124">
        <v>9.8000000000000007</v>
      </c>
      <c r="H3785" s="144">
        <f>VLOOKUP(D3785,Bahan,6,FALSE)</f>
        <v>1880</v>
      </c>
      <c r="I3785" s="126">
        <f>G3785*H3785</f>
        <v>18424</v>
      </c>
    </row>
    <row r="3786" spans="3:9" ht="15.95" customHeight="1" x14ac:dyDescent="0.25">
      <c r="C3786" s="122"/>
      <c r="D3786" s="117" t="s">
        <v>960</v>
      </c>
      <c r="E3786" s="118"/>
      <c r="F3786" s="123" t="s">
        <v>159</v>
      </c>
      <c r="G3786" s="124">
        <v>1.3</v>
      </c>
      <c r="H3786" s="144">
        <f>VLOOKUP(D3786,Bahan,6,FALSE)</f>
        <v>2460</v>
      </c>
      <c r="I3786" s="126">
        <f>G3786*H3786</f>
        <v>3198</v>
      </c>
    </row>
    <row r="3787" spans="3:9" ht="15.95" customHeight="1" thickBot="1" x14ac:dyDescent="0.3">
      <c r="C3787" s="122"/>
      <c r="D3787" s="117" t="s">
        <v>493</v>
      </c>
      <c r="E3787" s="118"/>
      <c r="F3787" s="123" t="s">
        <v>489</v>
      </c>
      <c r="G3787" s="124">
        <v>4.4999999999999998E-2</v>
      </c>
      <c r="H3787" s="144">
        <f>VLOOKUP(D3787,Bahan,6,FALSE)</f>
        <v>253510</v>
      </c>
      <c r="I3787" s="126">
        <f>G3787*H3787</f>
        <v>11407.949999999999</v>
      </c>
    </row>
    <row r="3788" spans="3:9" ht="15.95" customHeight="1" thickBot="1" x14ac:dyDescent="0.3">
      <c r="C3788" s="132"/>
      <c r="D3788" s="133"/>
      <c r="E3788" s="134"/>
      <c r="F3788" s="134"/>
      <c r="G3788" s="135" t="s">
        <v>386</v>
      </c>
      <c r="H3788" s="136"/>
      <c r="I3788" s="137">
        <f>SUM(I3784:I3787)</f>
        <v>124523.95</v>
      </c>
    </row>
    <row r="3789" spans="3:9" ht="15.95" customHeight="1" thickBot="1" x14ac:dyDescent="0.3">
      <c r="C3789" s="116" t="s">
        <v>387</v>
      </c>
      <c r="D3789" s="117" t="s">
        <v>388</v>
      </c>
      <c r="E3789" s="118"/>
      <c r="F3789" s="118"/>
      <c r="G3789" s="165"/>
      <c r="H3789" s="144">
        <f>IF(AND(D3789&lt;&gt;"",F3789&lt;&gt;""),IF(C3789="",IF(F3789="OH",VLOOKUP(D3789,[1]UPAH!$B$3:$G$32,7,0),VLOOKUP(D3789,[1]BAHAN!$A$2:$D$3,4,0)),0),0)</f>
        <v>0</v>
      </c>
      <c r="I3789" s="126">
        <f>G3789*H3789</f>
        <v>0</v>
      </c>
    </row>
    <row r="3790" spans="3:9" ht="15.95" customHeight="1" thickBot="1" x14ac:dyDescent="0.3">
      <c r="C3790" s="132"/>
      <c r="D3790" s="133"/>
      <c r="E3790" s="134"/>
      <c r="F3790" s="134"/>
      <c r="G3790" s="135" t="s">
        <v>389</v>
      </c>
      <c r="H3790" s="136"/>
      <c r="I3790" s="137">
        <f>I3789</f>
        <v>0</v>
      </c>
    </row>
    <row r="3791" spans="3:9" ht="15.95" customHeight="1" x14ac:dyDescent="0.25">
      <c r="C3791" s="158" t="s">
        <v>390</v>
      </c>
      <c r="D3791" s="159" t="s">
        <v>391</v>
      </c>
      <c r="E3791" s="160"/>
      <c r="F3791" s="160"/>
      <c r="G3791" s="161"/>
      <c r="H3791" s="162">
        <f>IF(AND(D3791&lt;&gt;"",F3791&lt;&gt;""),IF(C3791="",IF(F3791="OH",VLOOKUP(D3791,[1]UPAH!$B$3:$G$32,7,0),VLOOKUP(D3791,[1]BAHAN!$A$2:$D$3,4,0)),0),0)</f>
        <v>0</v>
      </c>
      <c r="I3791" s="126">
        <f>SUM(I3778:I3790)/2</f>
        <v>178878.95</v>
      </c>
    </row>
    <row r="3792" spans="3:9" ht="15.95" customHeight="1" thickBot="1" x14ac:dyDescent="0.3">
      <c r="C3792" s="147" t="s">
        <v>392</v>
      </c>
      <c r="D3792" s="148" t="s">
        <v>393</v>
      </c>
      <c r="E3792" s="149"/>
      <c r="F3792" s="149"/>
      <c r="G3792" s="164">
        <v>0.1</v>
      </c>
      <c r="H3792" s="151"/>
      <c r="I3792" s="146">
        <f>G3792*I3791</f>
        <v>17887.895</v>
      </c>
    </row>
    <row r="3793" spans="2:10" ht="15.95" customHeight="1" thickBot="1" x14ac:dyDescent="0.3">
      <c r="C3793" s="111" t="s">
        <v>394</v>
      </c>
      <c r="D3793" s="112" t="s">
        <v>395</v>
      </c>
      <c r="E3793" s="134"/>
      <c r="F3793" s="134"/>
      <c r="G3793" s="156"/>
      <c r="H3793" s="136">
        <f>IF(AND(D3793&lt;&gt;"",F3793&lt;&gt;""),IF(C3793="",IF(F3793="OH",VLOOKUP(D3793,[1]UPAH!$B$3:$G$32,7,0),VLOOKUP(D3793,[1]BAHAN!$A$2:$D$3,4,0)),0),0)</f>
        <v>0</v>
      </c>
      <c r="I3793" s="137">
        <f>ROUNDDOWN(I3791+I3792,0)</f>
        <v>196766</v>
      </c>
    </row>
    <row r="3794" spans="2:10" ht="15.95" customHeight="1" x14ac:dyDescent="0.25">
      <c r="C3794" s="109"/>
      <c r="D3794" s="109"/>
      <c r="G3794" s="157"/>
    </row>
    <row r="3795" spans="2:10" ht="15.95" customHeight="1" thickBot="1" x14ac:dyDescent="0.3">
      <c r="B3795" s="109" t="s">
        <v>982</v>
      </c>
      <c r="C3795" s="104" t="s">
        <v>983</v>
      </c>
      <c r="G3795" s="157"/>
      <c r="J3795" s="110">
        <f>I3813</f>
        <v>325947</v>
      </c>
    </row>
    <row r="3796" spans="2:10" ht="15.95" customHeight="1" thickBot="1" x14ac:dyDescent="0.3">
      <c r="C3796" s="111" t="s">
        <v>328</v>
      </c>
      <c r="D3796" s="112" t="s">
        <v>359</v>
      </c>
      <c r="E3796" s="113" t="s">
        <v>360</v>
      </c>
      <c r="F3796" s="113" t="s">
        <v>330</v>
      </c>
      <c r="G3796" s="114" t="s">
        <v>361</v>
      </c>
      <c r="H3796" s="112" t="s">
        <v>362</v>
      </c>
      <c r="I3796" s="115" t="s">
        <v>363</v>
      </c>
    </row>
    <row r="3797" spans="2:10" ht="15.95" customHeight="1" x14ac:dyDescent="0.25">
      <c r="C3797" s="116" t="s">
        <v>364</v>
      </c>
      <c r="D3797" s="117" t="s">
        <v>365</v>
      </c>
      <c r="E3797" s="118"/>
      <c r="F3797" s="118"/>
      <c r="G3797" s="165"/>
      <c r="H3797" s="144"/>
      <c r="I3797" s="126"/>
    </row>
    <row r="3798" spans="2:10" ht="15.95" customHeight="1" x14ac:dyDescent="0.25">
      <c r="C3798" s="122"/>
      <c r="D3798" s="117" t="s">
        <v>366</v>
      </c>
      <c r="E3798" s="123" t="s">
        <v>367</v>
      </c>
      <c r="F3798" s="123" t="s">
        <v>368</v>
      </c>
      <c r="G3798" s="124">
        <v>0.26</v>
      </c>
      <c r="H3798" s="125">
        <f>VLOOKUP(D3798,Upah,8,FALSE)</f>
        <v>125000</v>
      </c>
      <c r="I3798" s="126">
        <f>G3798*H3798</f>
        <v>32500</v>
      </c>
    </row>
    <row r="3799" spans="2:10" ht="15.95" customHeight="1" x14ac:dyDescent="0.25">
      <c r="C3799" s="122"/>
      <c r="D3799" s="117" t="s">
        <v>505</v>
      </c>
      <c r="E3799" s="123" t="s">
        <v>414</v>
      </c>
      <c r="F3799" s="123" t="s">
        <v>368</v>
      </c>
      <c r="G3799" s="124">
        <v>0.13</v>
      </c>
      <c r="H3799" s="125">
        <f>VLOOKUP(D3799,Upah,8,FALSE)</f>
        <v>150000</v>
      </c>
      <c r="I3799" s="126">
        <f>G3799*H3799</f>
        <v>19500</v>
      </c>
    </row>
    <row r="3800" spans="2:10" ht="15.95" customHeight="1" x14ac:dyDescent="0.25">
      <c r="C3800" s="122"/>
      <c r="D3800" s="117" t="s">
        <v>429</v>
      </c>
      <c r="E3800" s="123" t="s">
        <v>372</v>
      </c>
      <c r="F3800" s="123" t="s">
        <v>368</v>
      </c>
      <c r="G3800" s="124">
        <v>1.2999999999999999E-2</v>
      </c>
      <c r="H3800" s="125">
        <f>VLOOKUP(D3800,Upah,8,FALSE)</f>
        <v>165000</v>
      </c>
      <c r="I3800" s="126">
        <f>G3800*H3800</f>
        <v>2145</v>
      </c>
    </row>
    <row r="3801" spans="2:10" ht="15.95" customHeight="1" thickBot="1" x14ac:dyDescent="0.3">
      <c r="C3801" s="122"/>
      <c r="D3801" s="117" t="s">
        <v>373</v>
      </c>
      <c r="E3801" s="123" t="s">
        <v>374</v>
      </c>
      <c r="F3801" s="123" t="s">
        <v>368</v>
      </c>
      <c r="G3801" s="124">
        <v>1.2999999999999999E-2</v>
      </c>
      <c r="H3801" s="125">
        <f>VLOOKUP(D3801,Upah,8,FALSE)</f>
        <v>170000</v>
      </c>
      <c r="I3801" s="126">
        <f>G3801*H3801</f>
        <v>2210</v>
      </c>
    </row>
    <row r="3802" spans="2:10" ht="15.95" customHeight="1" thickBot="1" x14ac:dyDescent="0.3">
      <c r="C3802" s="132"/>
      <c r="D3802" s="133"/>
      <c r="E3802" s="134"/>
      <c r="F3802" s="134"/>
      <c r="G3802" s="135" t="s">
        <v>375</v>
      </c>
      <c r="H3802" s="136"/>
      <c r="I3802" s="137">
        <f>SUM(I3798:I3801)</f>
        <v>56355</v>
      </c>
    </row>
    <row r="3803" spans="2:10" ht="15.95" customHeight="1" x14ac:dyDescent="0.25">
      <c r="C3803" s="116" t="s">
        <v>376</v>
      </c>
      <c r="D3803" s="117" t="s">
        <v>377</v>
      </c>
      <c r="E3803" s="118"/>
      <c r="F3803" s="118"/>
      <c r="G3803" s="165"/>
      <c r="H3803" s="144"/>
      <c r="I3803" s="126"/>
    </row>
    <row r="3804" spans="2:10" ht="15.95" customHeight="1" x14ac:dyDescent="0.25">
      <c r="C3804" s="122"/>
      <c r="D3804" s="117" t="s">
        <v>984</v>
      </c>
      <c r="E3804" s="118"/>
      <c r="F3804" s="123" t="s">
        <v>418</v>
      </c>
      <c r="G3804" s="124">
        <v>11.87</v>
      </c>
      <c r="H3804" s="144">
        <f>VLOOKUP(D3804,Bahan,6,FALSE)</f>
        <v>17360</v>
      </c>
      <c r="I3804" s="126">
        <f>G3804*H3804</f>
        <v>206063.19999999998</v>
      </c>
    </row>
    <row r="3805" spans="2:10" ht="15.95" customHeight="1" x14ac:dyDescent="0.25">
      <c r="C3805" s="122"/>
      <c r="D3805" s="117" t="s">
        <v>380</v>
      </c>
      <c r="E3805" s="118"/>
      <c r="F3805" s="123" t="s">
        <v>133</v>
      </c>
      <c r="G3805" s="124">
        <v>10</v>
      </c>
      <c r="H3805" s="144">
        <f>VLOOKUP(D3805,Bahan,6,FALSE)</f>
        <v>1880</v>
      </c>
      <c r="I3805" s="126">
        <f>G3805*H3805</f>
        <v>18800</v>
      </c>
    </row>
    <row r="3806" spans="2:10" ht="15.95" customHeight="1" x14ac:dyDescent="0.25">
      <c r="C3806" s="122"/>
      <c r="D3806" s="117" t="s">
        <v>960</v>
      </c>
      <c r="E3806" s="118"/>
      <c r="F3806" s="123" t="s">
        <v>159</v>
      </c>
      <c r="G3806" s="124">
        <v>1.5</v>
      </c>
      <c r="H3806" s="144">
        <f>VLOOKUP(D3806,Bahan,6,FALSE)</f>
        <v>2460</v>
      </c>
      <c r="I3806" s="126">
        <f>G3806*H3806</f>
        <v>3690</v>
      </c>
    </row>
    <row r="3807" spans="2:10" ht="15.95" customHeight="1" thickBot="1" x14ac:dyDescent="0.3">
      <c r="C3807" s="122"/>
      <c r="D3807" s="117" t="s">
        <v>493</v>
      </c>
      <c r="E3807" s="118"/>
      <c r="F3807" s="123" t="s">
        <v>489</v>
      </c>
      <c r="G3807" s="124">
        <v>4.4999999999999998E-2</v>
      </c>
      <c r="H3807" s="144">
        <f>VLOOKUP(D3807,Bahan,6,FALSE)</f>
        <v>253510</v>
      </c>
      <c r="I3807" s="126">
        <f>G3807*H3807</f>
        <v>11407.949999999999</v>
      </c>
    </row>
    <row r="3808" spans="2:10" ht="15.95" customHeight="1" thickBot="1" x14ac:dyDescent="0.3">
      <c r="C3808" s="132"/>
      <c r="D3808" s="133"/>
      <c r="E3808" s="134"/>
      <c r="F3808" s="134"/>
      <c r="G3808" s="135" t="s">
        <v>386</v>
      </c>
      <c r="H3808" s="136"/>
      <c r="I3808" s="137">
        <f>SUM(I3804:I3807)</f>
        <v>239961.15</v>
      </c>
    </row>
    <row r="3809" spans="2:10" ht="15.95" customHeight="1" thickBot="1" x14ac:dyDescent="0.3">
      <c r="C3809" s="116" t="s">
        <v>387</v>
      </c>
      <c r="D3809" s="117" t="s">
        <v>388</v>
      </c>
      <c r="E3809" s="118"/>
      <c r="F3809" s="118"/>
      <c r="G3809" s="165"/>
      <c r="H3809" s="144">
        <f>IF(AND(D3809&lt;&gt;"",F3809&lt;&gt;""),IF(C3809="",IF(F3809="OH",VLOOKUP(D3809,[1]UPAH!$B$3:$G$32,7,0),VLOOKUP(D3809,[1]BAHAN!$A$2:$D$3,4,0)),0),0)</f>
        <v>0</v>
      </c>
      <c r="I3809" s="126">
        <f>G3809*H3809</f>
        <v>0</v>
      </c>
    </row>
    <row r="3810" spans="2:10" ht="15.95" customHeight="1" thickBot="1" x14ac:dyDescent="0.3">
      <c r="C3810" s="132"/>
      <c r="D3810" s="133"/>
      <c r="E3810" s="134"/>
      <c r="F3810" s="134"/>
      <c r="G3810" s="135" t="s">
        <v>389</v>
      </c>
      <c r="H3810" s="136"/>
      <c r="I3810" s="137">
        <f>I3809</f>
        <v>0</v>
      </c>
    </row>
    <row r="3811" spans="2:10" ht="15.95" customHeight="1" x14ac:dyDescent="0.25">
      <c r="C3811" s="158" t="s">
        <v>390</v>
      </c>
      <c r="D3811" s="159" t="s">
        <v>391</v>
      </c>
      <c r="E3811" s="160"/>
      <c r="F3811" s="160"/>
      <c r="G3811" s="161"/>
      <c r="H3811" s="162">
        <f>IF(AND(D3811&lt;&gt;"",F3811&lt;&gt;""),IF(C3811="",IF(F3811="OH",VLOOKUP(D3811,[1]UPAH!$B$3:$G$32,7,0),VLOOKUP(D3811,[1]BAHAN!$A$2:$D$3,4,0)),0),0)</f>
        <v>0</v>
      </c>
      <c r="I3811" s="126">
        <f>SUM(I3798:I3810)/2</f>
        <v>296316.14999999997</v>
      </c>
    </row>
    <row r="3812" spans="2:10" ht="15.95" customHeight="1" thickBot="1" x14ac:dyDescent="0.3">
      <c r="C3812" s="147" t="s">
        <v>392</v>
      </c>
      <c r="D3812" s="148" t="s">
        <v>393</v>
      </c>
      <c r="E3812" s="149"/>
      <c r="F3812" s="149"/>
      <c r="G3812" s="164">
        <v>0.1</v>
      </c>
      <c r="H3812" s="151"/>
      <c r="I3812" s="146">
        <f>G3812*I3811</f>
        <v>29631.614999999998</v>
      </c>
    </row>
    <row r="3813" spans="2:10" ht="15.95" customHeight="1" thickBot="1" x14ac:dyDescent="0.3">
      <c r="C3813" s="111" t="s">
        <v>394</v>
      </c>
      <c r="D3813" s="112" t="s">
        <v>395</v>
      </c>
      <c r="E3813" s="134"/>
      <c r="F3813" s="134"/>
      <c r="G3813" s="156"/>
      <c r="H3813" s="136">
        <f>IF(AND(D3813&lt;&gt;"",F3813&lt;&gt;""),IF(C3813="",IF(F3813="OH",VLOOKUP(D3813,[1]UPAH!$B$3:$G$32,7,0),VLOOKUP(D3813,[1]BAHAN!$A$2:$D$3,4,0)),0),0)</f>
        <v>0</v>
      </c>
      <c r="I3813" s="137">
        <f>ROUNDDOWN(I3811+I3812,0)</f>
        <v>325947</v>
      </c>
    </row>
    <row r="3814" spans="2:10" ht="15.95" customHeight="1" x14ac:dyDescent="0.25">
      <c r="C3814" s="109"/>
      <c r="D3814" s="109"/>
      <c r="G3814" s="157"/>
    </row>
    <row r="3815" spans="2:10" ht="15.95" customHeight="1" thickBot="1" x14ac:dyDescent="0.3">
      <c r="B3815" s="109" t="s">
        <v>985</v>
      </c>
      <c r="C3815" s="104" t="s">
        <v>986</v>
      </c>
      <c r="G3815" s="157"/>
      <c r="J3815" s="110">
        <f>I3833</f>
        <v>283960</v>
      </c>
    </row>
    <row r="3816" spans="2:10" ht="15.95" customHeight="1" thickBot="1" x14ac:dyDescent="0.3">
      <c r="C3816" s="111" t="s">
        <v>328</v>
      </c>
      <c r="D3816" s="112" t="s">
        <v>359</v>
      </c>
      <c r="E3816" s="113" t="s">
        <v>360</v>
      </c>
      <c r="F3816" s="113" t="s">
        <v>330</v>
      </c>
      <c r="G3816" s="114" t="s">
        <v>361</v>
      </c>
      <c r="H3816" s="112" t="s">
        <v>362</v>
      </c>
      <c r="I3816" s="115" t="s">
        <v>363</v>
      </c>
    </row>
    <row r="3817" spans="2:10" ht="15.95" customHeight="1" x14ac:dyDescent="0.25">
      <c r="C3817" s="116" t="s">
        <v>364</v>
      </c>
      <c r="D3817" s="117" t="s">
        <v>365</v>
      </c>
      <c r="E3817" s="118"/>
      <c r="F3817" s="118"/>
      <c r="G3817" s="165"/>
      <c r="H3817" s="144"/>
      <c r="I3817" s="126"/>
    </row>
    <row r="3818" spans="2:10" ht="15.95" customHeight="1" x14ac:dyDescent="0.25">
      <c r="C3818" s="122"/>
      <c r="D3818" s="117" t="s">
        <v>366</v>
      </c>
      <c r="E3818" s="123" t="s">
        <v>367</v>
      </c>
      <c r="F3818" s="123" t="s">
        <v>368</v>
      </c>
      <c r="G3818" s="124">
        <v>0.24</v>
      </c>
      <c r="H3818" s="125">
        <f>VLOOKUP(D3818,Upah,8,FALSE)</f>
        <v>125000</v>
      </c>
      <c r="I3818" s="126">
        <f>G3818*H3818</f>
        <v>30000</v>
      </c>
    </row>
    <row r="3819" spans="2:10" ht="15.95" customHeight="1" x14ac:dyDescent="0.25">
      <c r="C3819" s="122"/>
      <c r="D3819" s="117" t="s">
        <v>505</v>
      </c>
      <c r="E3819" s="123" t="s">
        <v>414</v>
      </c>
      <c r="F3819" s="123" t="s">
        <v>368</v>
      </c>
      <c r="G3819" s="124">
        <v>0.12</v>
      </c>
      <c r="H3819" s="125">
        <f>VLOOKUP(D3819,Upah,8,FALSE)</f>
        <v>150000</v>
      </c>
      <c r="I3819" s="126">
        <f>G3819*H3819</f>
        <v>18000</v>
      </c>
    </row>
    <row r="3820" spans="2:10" ht="15.95" customHeight="1" x14ac:dyDescent="0.25">
      <c r="C3820" s="122"/>
      <c r="D3820" s="117" t="s">
        <v>429</v>
      </c>
      <c r="E3820" s="123" t="s">
        <v>372</v>
      </c>
      <c r="F3820" s="123" t="s">
        <v>368</v>
      </c>
      <c r="G3820" s="124">
        <v>1.2E-2</v>
      </c>
      <c r="H3820" s="125">
        <f>VLOOKUP(D3820,Upah,8,FALSE)</f>
        <v>165000</v>
      </c>
      <c r="I3820" s="126">
        <f>G3820*H3820</f>
        <v>1980</v>
      </c>
    </row>
    <row r="3821" spans="2:10" ht="15.95" customHeight="1" thickBot="1" x14ac:dyDescent="0.3">
      <c r="C3821" s="122"/>
      <c r="D3821" s="117" t="s">
        <v>373</v>
      </c>
      <c r="E3821" s="123" t="s">
        <v>374</v>
      </c>
      <c r="F3821" s="123" t="s">
        <v>368</v>
      </c>
      <c r="G3821" s="124">
        <v>1.2E-2</v>
      </c>
      <c r="H3821" s="125">
        <f>VLOOKUP(D3821,Upah,8,FALSE)</f>
        <v>170000</v>
      </c>
      <c r="I3821" s="126">
        <f>G3821*H3821</f>
        <v>2040</v>
      </c>
    </row>
    <row r="3822" spans="2:10" ht="15.95" customHeight="1" thickBot="1" x14ac:dyDescent="0.3">
      <c r="C3822" s="132"/>
      <c r="D3822" s="133"/>
      <c r="E3822" s="134"/>
      <c r="F3822" s="134"/>
      <c r="G3822" s="135" t="s">
        <v>375</v>
      </c>
      <c r="H3822" s="136"/>
      <c r="I3822" s="137">
        <f>SUM(I3818:I3821)</f>
        <v>52020</v>
      </c>
    </row>
    <row r="3823" spans="2:10" ht="15.95" customHeight="1" x14ac:dyDescent="0.25">
      <c r="C3823" s="116" t="s">
        <v>376</v>
      </c>
      <c r="D3823" s="117" t="s">
        <v>377</v>
      </c>
      <c r="E3823" s="118"/>
      <c r="F3823" s="118"/>
      <c r="G3823" s="165"/>
      <c r="H3823" s="144"/>
      <c r="I3823" s="126"/>
    </row>
    <row r="3824" spans="2:10" ht="15.95" customHeight="1" x14ac:dyDescent="0.25">
      <c r="C3824" s="122"/>
      <c r="D3824" s="117" t="s">
        <v>987</v>
      </c>
      <c r="E3824" s="118"/>
      <c r="F3824" s="123" t="s">
        <v>418</v>
      </c>
      <c r="G3824" s="124">
        <v>3.1</v>
      </c>
      <c r="H3824" s="144">
        <f>VLOOKUP(D3824,Bahan,6,FALSE)</f>
        <v>55800</v>
      </c>
      <c r="I3824" s="126">
        <f>G3824*H3824</f>
        <v>172980</v>
      </c>
    </row>
    <row r="3825" spans="2:10" ht="15.95" customHeight="1" x14ac:dyDescent="0.25">
      <c r="C3825" s="122"/>
      <c r="D3825" s="117" t="s">
        <v>380</v>
      </c>
      <c r="E3825" s="118"/>
      <c r="F3825" s="123" t="s">
        <v>133</v>
      </c>
      <c r="G3825" s="124">
        <v>9.6</v>
      </c>
      <c r="H3825" s="144">
        <f>VLOOKUP(D3825,Bahan,6,FALSE)</f>
        <v>1880</v>
      </c>
      <c r="I3825" s="126">
        <f>G3825*H3825</f>
        <v>18048</v>
      </c>
    </row>
    <row r="3826" spans="2:10" ht="15.95" customHeight="1" x14ac:dyDescent="0.25">
      <c r="C3826" s="122"/>
      <c r="D3826" s="117" t="s">
        <v>960</v>
      </c>
      <c r="E3826" s="118"/>
      <c r="F3826" s="123" t="s">
        <v>159</v>
      </c>
      <c r="G3826" s="124">
        <v>1.5</v>
      </c>
      <c r="H3826" s="144">
        <f>VLOOKUP(D3826,Bahan,6,FALSE)</f>
        <v>2460</v>
      </c>
      <c r="I3826" s="126">
        <f>G3826*H3826</f>
        <v>3690</v>
      </c>
    </row>
    <row r="3827" spans="2:10" ht="15.95" customHeight="1" thickBot="1" x14ac:dyDescent="0.3">
      <c r="C3827" s="122"/>
      <c r="D3827" s="117" t="s">
        <v>493</v>
      </c>
      <c r="E3827" s="118"/>
      <c r="F3827" s="123" t="s">
        <v>489</v>
      </c>
      <c r="G3827" s="124">
        <v>4.4999999999999998E-2</v>
      </c>
      <c r="H3827" s="144">
        <f>VLOOKUP(D3827,Bahan,6,FALSE)</f>
        <v>253510</v>
      </c>
      <c r="I3827" s="126">
        <f>G3827*H3827</f>
        <v>11407.949999999999</v>
      </c>
    </row>
    <row r="3828" spans="2:10" ht="15.95" customHeight="1" thickBot="1" x14ac:dyDescent="0.3">
      <c r="C3828" s="132"/>
      <c r="D3828" s="133"/>
      <c r="E3828" s="134"/>
      <c r="F3828" s="134"/>
      <c r="G3828" s="135" t="s">
        <v>386</v>
      </c>
      <c r="H3828" s="136"/>
      <c r="I3828" s="137">
        <f>SUM(I3824:I3827)</f>
        <v>206125.95</v>
      </c>
    </row>
    <row r="3829" spans="2:10" ht="15.95" customHeight="1" thickBot="1" x14ac:dyDescent="0.3">
      <c r="C3829" s="116" t="s">
        <v>387</v>
      </c>
      <c r="D3829" s="117" t="s">
        <v>388</v>
      </c>
      <c r="E3829" s="118"/>
      <c r="F3829" s="118"/>
      <c r="G3829" s="165"/>
      <c r="H3829" s="144">
        <f>IF(AND(D3829&lt;&gt;"",F3829&lt;&gt;""),IF(C3829="",IF(F3829="OH",VLOOKUP(D3829,[1]UPAH!$B$3:$G$32,7,0),VLOOKUP(D3829,[1]BAHAN!$A$2:$D$3,4,0)),0),0)</f>
        <v>0</v>
      </c>
      <c r="I3829" s="126">
        <f>G3829*H3829</f>
        <v>0</v>
      </c>
    </row>
    <row r="3830" spans="2:10" ht="15.95" customHeight="1" thickBot="1" x14ac:dyDescent="0.3">
      <c r="C3830" s="132"/>
      <c r="D3830" s="133"/>
      <c r="E3830" s="134"/>
      <c r="F3830" s="134"/>
      <c r="G3830" s="135" t="s">
        <v>389</v>
      </c>
      <c r="H3830" s="136"/>
      <c r="I3830" s="137">
        <f>I3829</f>
        <v>0</v>
      </c>
    </row>
    <row r="3831" spans="2:10" ht="15.95" customHeight="1" x14ac:dyDescent="0.25">
      <c r="C3831" s="158" t="s">
        <v>390</v>
      </c>
      <c r="D3831" s="159" t="s">
        <v>391</v>
      </c>
      <c r="E3831" s="160"/>
      <c r="F3831" s="160"/>
      <c r="G3831" s="161"/>
      <c r="H3831" s="162">
        <f>IF(AND(D3831&lt;&gt;"",F3831&lt;&gt;""),IF(C3831="",IF(F3831="OH",VLOOKUP(D3831,[1]UPAH!$B$3:$G$32,7,0),VLOOKUP(D3831,[1]BAHAN!$A$2:$D$3,4,0)),0),0)</f>
        <v>0</v>
      </c>
      <c r="I3831" s="126">
        <f>SUM(I3818:I3830)/2</f>
        <v>258145.95</v>
      </c>
    </row>
    <row r="3832" spans="2:10" ht="15.95" customHeight="1" thickBot="1" x14ac:dyDescent="0.3">
      <c r="C3832" s="147" t="s">
        <v>392</v>
      </c>
      <c r="D3832" s="148" t="s">
        <v>393</v>
      </c>
      <c r="E3832" s="149"/>
      <c r="F3832" s="149"/>
      <c r="G3832" s="164">
        <v>0.1</v>
      </c>
      <c r="H3832" s="151"/>
      <c r="I3832" s="146">
        <f>G3832*I3831</f>
        <v>25814.595000000001</v>
      </c>
    </row>
    <row r="3833" spans="2:10" ht="15.95" customHeight="1" thickBot="1" x14ac:dyDescent="0.3">
      <c r="C3833" s="111" t="s">
        <v>394</v>
      </c>
      <c r="D3833" s="112" t="s">
        <v>395</v>
      </c>
      <c r="E3833" s="134"/>
      <c r="F3833" s="134"/>
      <c r="G3833" s="156"/>
      <c r="H3833" s="136">
        <f>IF(AND(D3833&lt;&gt;"",F3833&lt;&gt;""),IF(C3833="",IF(F3833="OH",VLOOKUP(D3833,[1]UPAH!$B$3:$G$32,7,0),VLOOKUP(D3833,[1]BAHAN!$A$2:$D$3,4,0)),0),0)</f>
        <v>0</v>
      </c>
      <c r="I3833" s="137">
        <f>ROUNDDOWN(I3831+I3832,0)</f>
        <v>283960</v>
      </c>
    </row>
    <row r="3834" spans="2:10" ht="15.95" customHeight="1" x14ac:dyDescent="0.25">
      <c r="C3834" s="109"/>
      <c r="D3834" s="109"/>
      <c r="G3834" s="157"/>
    </row>
    <row r="3835" spans="2:10" ht="15.95" customHeight="1" thickBot="1" x14ac:dyDescent="0.3">
      <c r="B3835" s="109" t="s">
        <v>988</v>
      </c>
      <c r="C3835" s="104" t="s">
        <v>989</v>
      </c>
      <c r="G3835" s="157"/>
      <c r="J3835" s="110">
        <f>I3853</f>
        <v>395428</v>
      </c>
    </row>
    <row r="3836" spans="2:10" ht="15.95" customHeight="1" thickBot="1" x14ac:dyDescent="0.3">
      <c r="C3836" s="111" t="s">
        <v>328</v>
      </c>
      <c r="D3836" s="112" t="s">
        <v>359</v>
      </c>
      <c r="E3836" s="113" t="s">
        <v>360</v>
      </c>
      <c r="F3836" s="113" t="s">
        <v>330</v>
      </c>
      <c r="G3836" s="114" t="s">
        <v>361</v>
      </c>
      <c r="H3836" s="112" t="s">
        <v>362</v>
      </c>
      <c r="I3836" s="115" t="s">
        <v>363</v>
      </c>
    </row>
    <row r="3837" spans="2:10" ht="15.95" customHeight="1" x14ac:dyDescent="0.25">
      <c r="C3837" s="116" t="s">
        <v>364</v>
      </c>
      <c r="D3837" s="117" t="s">
        <v>365</v>
      </c>
      <c r="E3837" s="118"/>
      <c r="F3837" s="118"/>
      <c r="G3837" s="165"/>
      <c r="H3837" s="144"/>
      <c r="I3837" s="126"/>
    </row>
    <row r="3838" spans="2:10" ht="15.95" customHeight="1" x14ac:dyDescent="0.25">
      <c r="C3838" s="122"/>
      <c r="D3838" s="117" t="s">
        <v>366</v>
      </c>
      <c r="E3838" s="123" t="s">
        <v>367</v>
      </c>
      <c r="F3838" s="123" t="s">
        <v>368</v>
      </c>
      <c r="G3838" s="124">
        <v>0.25</v>
      </c>
      <c r="H3838" s="125">
        <f>VLOOKUP(D3838,Upah,8,FALSE)</f>
        <v>125000</v>
      </c>
      <c r="I3838" s="126">
        <f>G3838*H3838</f>
        <v>31250</v>
      </c>
    </row>
    <row r="3839" spans="2:10" ht="15.95" customHeight="1" x14ac:dyDescent="0.25">
      <c r="C3839" s="122"/>
      <c r="D3839" s="117" t="s">
        <v>505</v>
      </c>
      <c r="E3839" s="123" t="s">
        <v>414</v>
      </c>
      <c r="F3839" s="123" t="s">
        <v>368</v>
      </c>
      <c r="G3839" s="124">
        <v>0.125</v>
      </c>
      <c r="H3839" s="125">
        <f>VLOOKUP(D3839,Upah,8,FALSE)</f>
        <v>150000</v>
      </c>
      <c r="I3839" s="126">
        <f>G3839*H3839</f>
        <v>18750</v>
      </c>
    </row>
    <row r="3840" spans="2:10" ht="15.95" customHeight="1" x14ac:dyDescent="0.25">
      <c r="C3840" s="122"/>
      <c r="D3840" s="117" t="s">
        <v>429</v>
      </c>
      <c r="E3840" s="123" t="s">
        <v>372</v>
      </c>
      <c r="F3840" s="123" t="s">
        <v>368</v>
      </c>
      <c r="G3840" s="124">
        <v>1.2999999999999999E-2</v>
      </c>
      <c r="H3840" s="125">
        <f>VLOOKUP(D3840,Upah,8,FALSE)</f>
        <v>165000</v>
      </c>
      <c r="I3840" s="126">
        <f>G3840*H3840</f>
        <v>2145</v>
      </c>
    </row>
    <row r="3841" spans="2:10" ht="15.95" customHeight="1" thickBot="1" x14ac:dyDescent="0.3">
      <c r="C3841" s="122"/>
      <c r="D3841" s="117" t="s">
        <v>373</v>
      </c>
      <c r="E3841" s="123" t="s">
        <v>374</v>
      </c>
      <c r="F3841" s="123" t="s">
        <v>368</v>
      </c>
      <c r="G3841" s="124">
        <v>1.2999999999999999E-2</v>
      </c>
      <c r="H3841" s="125">
        <f>VLOOKUP(D3841,Upah,8,FALSE)</f>
        <v>170000</v>
      </c>
      <c r="I3841" s="126">
        <f>G3841*H3841</f>
        <v>2210</v>
      </c>
    </row>
    <row r="3842" spans="2:10" ht="15.95" customHeight="1" thickBot="1" x14ac:dyDescent="0.3">
      <c r="C3842" s="132"/>
      <c r="D3842" s="133"/>
      <c r="E3842" s="134"/>
      <c r="F3842" s="134"/>
      <c r="G3842" s="135" t="s">
        <v>375</v>
      </c>
      <c r="H3842" s="136"/>
      <c r="I3842" s="137">
        <f>SUM(I3838:I3841)</f>
        <v>54355</v>
      </c>
    </row>
    <row r="3843" spans="2:10" ht="15.95" customHeight="1" x14ac:dyDescent="0.25">
      <c r="C3843" s="116" t="s">
        <v>376</v>
      </c>
      <c r="D3843" s="117" t="s">
        <v>377</v>
      </c>
      <c r="E3843" s="118"/>
      <c r="F3843" s="118"/>
      <c r="G3843" s="165"/>
      <c r="H3843" s="144"/>
      <c r="I3843" s="126"/>
    </row>
    <row r="3844" spans="2:10" ht="15.95" customHeight="1" x14ac:dyDescent="0.25">
      <c r="C3844" s="122"/>
      <c r="D3844" s="117" t="s">
        <v>990</v>
      </c>
      <c r="E3844" s="118"/>
      <c r="F3844" s="123" t="s">
        <v>418</v>
      </c>
      <c r="G3844" s="124">
        <v>6.63</v>
      </c>
      <c r="H3844" s="144">
        <f>VLOOKUP(D3844,Bahan,6,FALSE)</f>
        <v>41040</v>
      </c>
      <c r="I3844" s="126">
        <f>G3844*H3844</f>
        <v>272095.2</v>
      </c>
    </row>
    <row r="3845" spans="2:10" ht="15.95" customHeight="1" x14ac:dyDescent="0.25">
      <c r="C3845" s="122"/>
      <c r="D3845" s="117" t="s">
        <v>380</v>
      </c>
      <c r="E3845" s="118"/>
      <c r="F3845" s="123" t="s">
        <v>133</v>
      </c>
      <c r="G3845" s="124">
        <v>9.8000000000000007</v>
      </c>
      <c r="H3845" s="144">
        <f>VLOOKUP(D3845,Bahan,6,FALSE)</f>
        <v>1880</v>
      </c>
      <c r="I3845" s="126">
        <f>G3845*H3845</f>
        <v>18424</v>
      </c>
    </row>
    <row r="3846" spans="2:10" ht="15.95" customHeight="1" x14ac:dyDescent="0.25">
      <c r="C3846" s="122"/>
      <c r="D3846" s="117" t="s">
        <v>960</v>
      </c>
      <c r="E3846" s="118"/>
      <c r="F3846" s="123" t="s">
        <v>159</v>
      </c>
      <c r="G3846" s="124">
        <v>1.3</v>
      </c>
      <c r="H3846" s="144">
        <f>VLOOKUP(D3846,Bahan,6,FALSE)</f>
        <v>2460</v>
      </c>
      <c r="I3846" s="126">
        <f>G3846*H3846</f>
        <v>3198</v>
      </c>
    </row>
    <row r="3847" spans="2:10" ht="15.95" customHeight="1" thickBot="1" x14ac:dyDescent="0.3">
      <c r="C3847" s="122"/>
      <c r="D3847" s="117" t="s">
        <v>493</v>
      </c>
      <c r="E3847" s="118"/>
      <c r="F3847" s="123" t="s">
        <v>489</v>
      </c>
      <c r="G3847" s="124">
        <v>4.4999999999999998E-2</v>
      </c>
      <c r="H3847" s="144">
        <f>VLOOKUP(D3847,Bahan,6,FALSE)</f>
        <v>253510</v>
      </c>
      <c r="I3847" s="126">
        <f>G3847*H3847</f>
        <v>11407.949999999999</v>
      </c>
    </row>
    <row r="3848" spans="2:10" ht="15.95" customHeight="1" thickBot="1" x14ac:dyDescent="0.3">
      <c r="C3848" s="132"/>
      <c r="D3848" s="133"/>
      <c r="E3848" s="134"/>
      <c r="F3848" s="134"/>
      <c r="G3848" s="135" t="s">
        <v>386</v>
      </c>
      <c r="H3848" s="136"/>
      <c r="I3848" s="137">
        <f>SUM(I3844:I3847)</f>
        <v>305125.15000000002</v>
      </c>
    </row>
    <row r="3849" spans="2:10" ht="15.95" customHeight="1" thickBot="1" x14ac:dyDescent="0.3">
      <c r="C3849" s="116" t="s">
        <v>387</v>
      </c>
      <c r="D3849" s="117" t="s">
        <v>388</v>
      </c>
      <c r="E3849" s="118"/>
      <c r="F3849" s="118"/>
      <c r="G3849" s="165"/>
      <c r="H3849" s="144">
        <f>IF(AND(D3849&lt;&gt;"",F3849&lt;&gt;""),IF(C3849="",IF(F3849="OH",VLOOKUP(D3849,[1]UPAH!$B$3:$G$32,7,0),VLOOKUP(D3849,[1]BAHAN!$A$2:$D$3,4,0)),0),0)</f>
        <v>0</v>
      </c>
      <c r="I3849" s="126">
        <f>G3849*H3849</f>
        <v>0</v>
      </c>
    </row>
    <row r="3850" spans="2:10" ht="15.95" customHeight="1" thickBot="1" x14ac:dyDescent="0.3">
      <c r="C3850" s="132"/>
      <c r="D3850" s="133"/>
      <c r="E3850" s="134"/>
      <c r="F3850" s="134"/>
      <c r="G3850" s="135" t="s">
        <v>389</v>
      </c>
      <c r="H3850" s="136"/>
      <c r="I3850" s="137">
        <f>I3849</f>
        <v>0</v>
      </c>
    </row>
    <row r="3851" spans="2:10" ht="15.95" customHeight="1" x14ac:dyDescent="0.25">
      <c r="C3851" s="158" t="s">
        <v>390</v>
      </c>
      <c r="D3851" s="159" t="s">
        <v>391</v>
      </c>
      <c r="E3851" s="160"/>
      <c r="F3851" s="160"/>
      <c r="G3851" s="161"/>
      <c r="H3851" s="162">
        <f>IF(AND(D3851&lt;&gt;"",F3851&lt;&gt;""),IF(C3851="",IF(F3851="OH",VLOOKUP(D3851,[1]UPAH!$B$3:$G$32,7,0),VLOOKUP(D3851,[1]BAHAN!$A$2:$D$3,4,0)),0),0)</f>
        <v>0</v>
      </c>
      <c r="I3851" s="126">
        <f>SUM(I3838:I3850)/2</f>
        <v>359480.15</v>
      </c>
    </row>
    <row r="3852" spans="2:10" ht="15.95" customHeight="1" thickBot="1" x14ac:dyDescent="0.3">
      <c r="C3852" s="147" t="s">
        <v>392</v>
      </c>
      <c r="D3852" s="148" t="s">
        <v>393</v>
      </c>
      <c r="E3852" s="149"/>
      <c r="F3852" s="149"/>
      <c r="G3852" s="164">
        <v>0.1</v>
      </c>
      <c r="H3852" s="151"/>
      <c r="I3852" s="146">
        <f>G3852*I3851</f>
        <v>35948.015000000007</v>
      </c>
    </row>
    <row r="3853" spans="2:10" ht="15.95" customHeight="1" thickBot="1" x14ac:dyDescent="0.3">
      <c r="C3853" s="111" t="s">
        <v>394</v>
      </c>
      <c r="D3853" s="112" t="s">
        <v>395</v>
      </c>
      <c r="E3853" s="134"/>
      <c r="F3853" s="134"/>
      <c r="G3853" s="156"/>
      <c r="H3853" s="136">
        <f>IF(AND(D3853&lt;&gt;"",F3853&lt;&gt;""),IF(C3853="",IF(F3853="OH",VLOOKUP(D3853,[1]UPAH!$B$3:$G$32,7,0),VLOOKUP(D3853,[1]BAHAN!$A$2:$D$3,4,0)),0),0)</f>
        <v>0</v>
      </c>
      <c r="I3853" s="137">
        <f>ROUNDDOWN(I3851+I3852,0)</f>
        <v>395428</v>
      </c>
    </row>
    <row r="3854" spans="2:10" ht="15.95" customHeight="1" x14ac:dyDescent="0.25">
      <c r="C3854" s="109"/>
      <c r="D3854" s="109"/>
      <c r="G3854" s="157"/>
    </row>
    <row r="3855" spans="2:10" ht="15.95" customHeight="1" thickBot="1" x14ac:dyDescent="0.3">
      <c r="B3855" s="109" t="s">
        <v>991</v>
      </c>
      <c r="C3855" s="104" t="s">
        <v>992</v>
      </c>
      <c r="G3855" s="157"/>
      <c r="J3855" s="110">
        <f>I3873</f>
        <v>618685</v>
      </c>
    </row>
    <row r="3856" spans="2:10" ht="15.95" customHeight="1" thickBot="1" x14ac:dyDescent="0.3">
      <c r="C3856" s="111" t="s">
        <v>328</v>
      </c>
      <c r="D3856" s="112" t="s">
        <v>359</v>
      </c>
      <c r="E3856" s="113" t="s">
        <v>360</v>
      </c>
      <c r="F3856" s="113" t="s">
        <v>330</v>
      </c>
      <c r="G3856" s="114" t="s">
        <v>361</v>
      </c>
      <c r="H3856" s="112" t="s">
        <v>362</v>
      </c>
      <c r="I3856" s="115" t="s">
        <v>363</v>
      </c>
    </row>
    <row r="3857" spans="3:9" ht="15.95" customHeight="1" x14ac:dyDescent="0.25">
      <c r="C3857" s="116" t="s">
        <v>364</v>
      </c>
      <c r="D3857" s="117" t="s">
        <v>365</v>
      </c>
      <c r="E3857" s="118"/>
      <c r="F3857" s="118"/>
      <c r="G3857" s="165"/>
      <c r="H3857" s="144"/>
      <c r="I3857" s="126"/>
    </row>
    <row r="3858" spans="3:9" ht="15.95" customHeight="1" x14ac:dyDescent="0.25">
      <c r="C3858" s="122"/>
      <c r="D3858" s="117" t="s">
        <v>366</v>
      </c>
      <c r="E3858" s="123" t="s">
        <v>367</v>
      </c>
      <c r="F3858" s="123" t="s">
        <v>368</v>
      </c>
      <c r="G3858" s="124">
        <v>0.26</v>
      </c>
      <c r="H3858" s="125">
        <f>VLOOKUP(D3858,Upah,8,FALSE)</f>
        <v>125000</v>
      </c>
      <c r="I3858" s="126">
        <f>G3858*H3858</f>
        <v>32500</v>
      </c>
    </row>
    <row r="3859" spans="3:9" ht="15.95" customHeight="1" x14ac:dyDescent="0.25">
      <c r="C3859" s="122"/>
      <c r="D3859" s="117" t="s">
        <v>505</v>
      </c>
      <c r="E3859" s="123" t="s">
        <v>414</v>
      </c>
      <c r="F3859" s="123" t="s">
        <v>368</v>
      </c>
      <c r="G3859" s="124">
        <v>0.13</v>
      </c>
      <c r="H3859" s="125">
        <f>VLOOKUP(D3859,Upah,8,FALSE)</f>
        <v>150000</v>
      </c>
      <c r="I3859" s="126">
        <f>G3859*H3859</f>
        <v>19500</v>
      </c>
    </row>
    <row r="3860" spans="3:9" ht="15.95" customHeight="1" x14ac:dyDescent="0.25">
      <c r="C3860" s="122"/>
      <c r="D3860" s="117" t="s">
        <v>429</v>
      </c>
      <c r="E3860" s="123" t="s">
        <v>372</v>
      </c>
      <c r="F3860" s="123" t="s">
        <v>368</v>
      </c>
      <c r="G3860" s="124">
        <v>1.2999999999999999E-2</v>
      </c>
      <c r="H3860" s="125">
        <f>VLOOKUP(D3860,Upah,8,FALSE)</f>
        <v>165000</v>
      </c>
      <c r="I3860" s="126">
        <f>G3860*H3860</f>
        <v>2145</v>
      </c>
    </row>
    <row r="3861" spans="3:9" ht="15.95" customHeight="1" thickBot="1" x14ac:dyDescent="0.3">
      <c r="C3861" s="122"/>
      <c r="D3861" s="117" t="s">
        <v>373</v>
      </c>
      <c r="E3861" s="123" t="s">
        <v>374</v>
      </c>
      <c r="F3861" s="123" t="s">
        <v>368</v>
      </c>
      <c r="G3861" s="124">
        <v>1.2999999999999999E-2</v>
      </c>
      <c r="H3861" s="125">
        <f>VLOOKUP(D3861,Upah,8,FALSE)</f>
        <v>170000</v>
      </c>
      <c r="I3861" s="126">
        <f>G3861*H3861</f>
        <v>2210</v>
      </c>
    </row>
    <row r="3862" spans="3:9" ht="15.95" customHeight="1" thickBot="1" x14ac:dyDescent="0.3">
      <c r="C3862" s="132"/>
      <c r="D3862" s="133"/>
      <c r="E3862" s="134"/>
      <c r="F3862" s="134"/>
      <c r="G3862" s="135" t="s">
        <v>375</v>
      </c>
      <c r="H3862" s="136"/>
      <c r="I3862" s="137">
        <f>SUM(I3858:I3861)</f>
        <v>56355</v>
      </c>
    </row>
    <row r="3863" spans="3:9" ht="15.95" customHeight="1" x14ac:dyDescent="0.25">
      <c r="C3863" s="116" t="s">
        <v>376</v>
      </c>
      <c r="D3863" s="117" t="s">
        <v>377</v>
      </c>
      <c r="E3863" s="118"/>
      <c r="F3863" s="118"/>
      <c r="G3863" s="165"/>
      <c r="H3863" s="144"/>
      <c r="I3863" s="126"/>
    </row>
    <row r="3864" spans="3:9" ht="15.95" customHeight="1" x14ac:dyDescent="0.25">
      <c r="C3864" s="122"/>
      <c r="D3864" s="117" t="s">
        <v>993</v>
      </c>
      <c r="E3864" s="118"/>
      <c r="F3864" s="123" t="s">
        <v>418</v>
      </c>
      <c r="G3864" s="124">
        <v>11.87</v>
      </c>
      <c r="H3864" s="144">
        <f>VLOOKUP(D3864,Bahan,6,FALSE)</f>
        <v>39780</v>
      </c>
      <c r="I3864" s="126">
        <f>G3864*H3864</f>
        <v>472188.6</v>
      </c>
    </row>
    <row r="3865" spans="3:9" ht="15.95" customHeight="1" x14ac:dyDescent="0.25">
      <c r="C3865" s="122"/>
      <c r="D3865" s="117" t="s">
        <v>380</v>
      </c>
      <c r="E3865" s="118"/>
      <c r="F3865" s="123" t="s">
        <v>133</v>
      </c>
      <c r="G3865" s="124">
        <v>10</v>
      </c>
      <c r="H3865" s="144">
        <f>VLOOKUP(D3865,Bahan,6,FALSE)</f>
        <v>1880</v>
      </c>
      <c r="I3865" s="126">
        <f>G3865*H3865</f>
        <v>18800</v>
      </c>
    </row>
    <row r="3866" spans="3:9" ht="15.95" customHeight="1" x14ac:dyDescent="0.25">
      <c r="C3866" s="122"/>
      <c r="D3866" s="117" t="s">
        <v>960</v>
      </c>
      <c r="E3866" s="118"/>
      <c r="F3866" s="123" t="s">
        <v>159</v>
      </c>
      <c r="G3866" s="124">
        <v>1.5</v>
      </c>
      <c r="H3866" s="144">
        <f>VLOOKUP(D3866,Bahan,6,FALSE)</f>
        <v>2460</v>
      </c>
      <c r="I3866" s="126">
        <f>G3866*H3866</f>
        <v>3690</v>
      </c>
    </row>
    <row r="3867" spans="3:9" ht="15.95" customHeight="1" thickBot="1" x14ac:dyDescent="0.3">
      <c r="C3867" s="122"/>
      <c r="D3867" s="117" t="s">
        <v>493</v>
      </c>
      <c r="E3867" s="118"/>
      <c r="F3867" s="123" t="s">
        <v>489</v>
      </c>
      <c r="G3867" s="124">
        <v>4.4999999999999998E-2</v>
      </c>
      <c r="H3867" s="144">
        <f>VLOOKUP(D3867,Bahan,6,FALSE)</f>
        <v>253510</v>
      </c>
      <c r="I3867" s="126">
        <f>G3867*H3867</f>
        <v>11407.949999999999</v>
      </c>
    </row>
    <row r="3868" spans="3:9" ht="15.95" customHeight="1" thickBot="1" x14ac:dyDescent="0.3">
      <c r="C3868" s="132"/>
      <c r="D3868" s="133"/>
      <c r="E3868" s="134"/>
      <c r="F3868" s="134"/>
      <c r="G3868" s="135" t="s">
        <v>386</v>
      </c>
      <c r="H3868" s="136"/>
      <c r="I3868" s="137">
        <f>SUM(I3864:I3867)</f>
        <v>506086.55</v>
      </c>
    </row>
    <row r="3869" spans="3:9" ht="15.95" customHeight="1" thickBot="1" x14ac:dyDescent="0.3">
      <c r="C3869" s="116" t="s">
        <v>387</v>
      </c>
      <c r="D3869" s="117" t="s">
        <v>388</v>
      </c>
      <c r="E3869" s="118"/>
      <c r="F3869" s="118"/>
      <c r="G3869" s="165"/>
      <c r="H3869" s="144">
        <f>IF(AND(D3869&lt;&gt;"",F3869&lt;&gt;""),IF(C3869="",IF(F3869="OH",VLOOKUP(D3869,[1]UPAH!$B$3:$G$32,7,0),VLOOKUP(D3869,[1]BAHAN!$A$2:$D$3,4,0)),0),0)</f>
        <v>0</v>
      </c>
      <c r="I3869" s="126">
        <f>G3869*H3869</f>
        <v>0</v>
      </c>
    </row>
    <row r="3870" spans="3:9" ht="15.95" customHeight="1" thickBot="1" x14ac:dyDescent="0.3">
      <c r="C3870" s="132"/>
      <c r="D3870" s="133"/>
      <c r="E3870" s="134"/>
      <c r="F3870" s="134"/>
      <c r="G3870" s="135" t="s">
        <v>389</v>
      </c>
      <c r="H3870" s="136"/>
      <c r="I3870" s="137">
        <f>I3869</f>
        <v>0</v>
      </c>
    </row>
    <row r="3871" spans="3:9" ht="15.95" customHeight="1" x14ac:dyDescent="0.25">
      <c r="C3871" s="158" t="s">
        <v>390</v>
      </c>
      <c r="D3871" s="159" t="s">
        <v>391</v>
      </c>
      <c r="E3871" s="160"/>
      <c r="F3871" s="160"/>
      <c r="G3871" s="161"/>
      <c r="H3871" s="162">
        <f>IF(AND(D3871&lt;&gt;"",F3871&lt;&gt;""),IF(C3871="",IF(F3871="OH",VLOOKUP(D3871,[1]UPAH!$B$3:$G$32,7,0),VLOOKUP(D3871,[1]BAHAN!$A$2:$D$3,4,0)),0),0)</f>
        <v>0</v>
      </c>
      <c r="I3871" s="126">
        <f>SUM(I3858:I3870)/2</f>
        <v>562441.54999999993</v>
      </c>
    </row>
    <row r="3872" spans="3:9" ht="15.95" customHeight="1" thickBot="1" x14ac:dyDescent="0.3">
      <c r="C3872" s="147" t="s">
        <v>392</v>
      </c>
      <c r="D3872" s="148" t="s">
        <v>393</v>
      </c>
      <c r="E3872" s="149"/>
      <c r="F3872" s="149"/>
      <c r="G3872" s="164">
        <v>0.1</v>
      </c>
      <c r="H3872" s="151"/>
      <c r="I3872" s="146">
        <f>G3872*I3871</f>
        <v>56244.154999999999</v>
      </c>
    </row>
    <row r="3873" spans="2:10" ht="15.95" customHeight="1" thickBot="1" x14ac:dyDescent="0.3">
      <c r="C3873" s="111" t="s">
        <v>394</v>
      </c>
      <c r="D3873" s="112" t="s">
        <v>395</v>
      </c>
      <c r="E3873" s="134"/>
      <c r="F3873" s="134"/>
      <c r="G3873" s="156"/>
      <c r="H3873" s="136">
        <f>IF(AND(D3873&lt;&gt;"",F3873&lt;&gt;""),IF(C3873="",IF(F3873="OH",VLOOKUP(D3873,[1]UPAH!$B$3:$G$32,7,0),VLOOKUP(D3873,[1]BAHAN!$A$2:$D$3,4,0)),0),0)</f>
        <v>0</v>
      </c>
      <c r="I3873" s="137">
        <f>ROUNDDOWN(I3871+I3872,0)</f>
        <v>618685</v>
      </c>
    </row>
    <row r="3874" spans="2:10" ht="15.95" customHeight="1" x14ac:dyDescent="0.25">
      <c r="C3874" s="109"/>
      <c r="D3874" s="109"/>
      <c r="G3874" s="157"/>
    </row>
    <row r="3875" spans="2:10" ht="15.95" customHeight="1" thickBot="1" x14ac:dyDescent="0.3">
      <c r="B3875" s="109" t="s">
        <v>994</v>
      </c>
      <c r="C3875" s="104" t="s">
        <v>995</v>
      </c>
      <c r="G3875" s="157"/>
      <c r="J3875" s="110">
        <f>I3892</f>
        <v>78279</v>
      </c>
    </row>
    <row r="3876" spans="2:10" ht="15.95" customHeight="1" thickBot="1" x14ac:dyDescent="0.3">
      <c r="C3876" s="111" t="s">
        <v>328</v>
      </c>
      <c r="D3876" s="112" t="s">
        <v>359</v>
      </c>
      <c r="E3876" s="113" t="s">
        <v>360</v>
      </c>
      <c r="F3876" s="113" t="s">
        <v>330</v>
      </c>
      <c r="G3876" s="114" t="s">
        <v>361</v>
      </c>
      <c r="H3876" s="112" t="s">
        <v>362</v>
      </c>
      <c r="I3876" s="115" t="s">
        <v>363</v>
      </c>
    </row>
    <row r="3877" spans="2:10" ht="15.95" customHeight="1" x14ac:dyDescent="0.25">
      <c r="C3877" s="116" t="s">
        <v>364</v>
      </c>
      <c r="D3877" s="117" t="s">
        <v>365</v>
      </c>
      <c r="E3877" s="118"/>
      <c r="F3877" s="118"/>
      <c r="G3877" s="165"/>
      <c r="H3877" s="144"/>
      <c r="I3877" s="126"/>
    </row>
    <row r="3878" spans="2:10" ht="15.95" customHeight="1" x14ac:dyDescent="0.25">
      <c r="C3878" s="122"/>
      <c r="D3878" s="117" t="s">
        <v>366</v>
      </c>
      <c r="E3878" s="123" t="s">
        <v>367</v>
      </c>
      <c r="F3878" s="123" t="s">
        <v>368</v>
      </c>
      <c r="G3878" s="124">
        <v>0.09</v>
      </c>
      <c r="H3878" s="125">
        <f>VLOOKUP(D3878,Upah,8,FALSE)</f>
        <v>125000</v>
      </c>
      <c r="I3878" s="126">
        <f>G3878*H3878</f>
        <v>11250</v>
      </c>
    </row>
    <row r="3879" spans="2:10" ht="15.95" customHeight="1" x14ac:dyDescent="0.25">
      <c r="C3879" s="122"/>
      <c r="D3879" s="117" t="s">
        <v>505</v>
      </c>
      <c r="E3879" s="123" t="s">
        <v>414</v>
      </c>
      <c r="F3879" s="123" t="s">
        <v>368</v>
      </c>
      <c r="G3879" s="124">
        <v>0.09</v>
      </c>
      <c r="H3879" s="125">
        <f>VLOOKUP(D3879,Upah,8,FALSE)</f>
        <v>150000</v>
      </c>
      <c r="I3879" s="126">
        <f>G3879*H3879</f>
        <v>13500</v>
      </c>
    </row>
    <row r="3880" spans="2:10" ht="15.95" customHeight="1" x14ac:dyDescent="0.25">
      <c r="C3880" s="122"/>
      <c r="D3880" s="117" t="s">
        <v>429</v>
      </c>
      <c r="E3880" s="123" t="s">
        <v>372</v>
      </c>
      <c r="F3880" s="123" t="s">
        <v>368</v>
      </c>
      <c r="G3880" s="124">
        <v>8.9999999999999993E-3</v>
      </c>
      <c r="H3880" s="125">
        <f>VLOOKUP(D3880,Upah,8,FALSE)</f>
        <v>165000</v>
      </c>
      <c r="I3880" s="126">
        <f>G3880*H3880</f>
        <v>1485</v>
      </c>
    </row>
    <row r="3881" spans="2:10" ht="15.95" customHeight="1" thickBot="1" x14ac:dyDescent="0.3">
      <c r="C3881" s="122"/>
      <c r="D3881" s="117" t="s">
        <v>373</v>
      </c>
      <c r="E3881" s="123" t="s">
        <v>374</v>
      </c>
      <c r="F3881" s="123" t="s">
        <v>368</v>
      </c>
      <c r="G3881" s="124">
        <v>5.0000000000000001E-3</v>
      </c>
      <c r="H3881" s="125">
        <f>VLOOKUP(D3881,Upah,8,FALSE)</f>
        <v>170000</v>
      </c>
      <c r="I3881" s="126">
        <f>G3881*H3881</f>
        <v>850</v>
      </c>
    </row>
    <row r="3882" spans="2:10" ht="15.95" customHeight="1" thickBot="1" x14ac:dyDescent="0.3">
      <c r="C3882" s="132"/>
      <c r="D3882" s="133"/>
      <c r="E3882" s="134"/>
      <c r="F3882" s="134"/>
      <c r="G3882" s="135" t="s">
        <v>375</v>
      </c>
      <c r="H3882" s="136"/>
      <c r="I3882" s="137">
        <f>SUM(I3878:I3881)</f>
        <v>27085</v>
      </c>
    </row>
    <row r="3883" spans="2:10" ht="15.95" customHeight="1" x14ac:dyDescent="0.25">
      <c r="C3883" s="116" t="s">
        <v>376</v>
      </c>
      <c r="D3883" s="117" t="s">
        <v>377</v>
      </c>
      <c r="E3883" s="118"/>
      <c r="F3883" s="118"/>
      <c r="G3883" s="165"/>
      <c r="H3883" s="144"/>
      <c r="I3883" s="126"/>
    </row>
    <row r="3884" spans="2:10" ht="15.95" customHeight="1" x14ac:dyDescent="0.25">
      <c r="C3884" s="122"/>
      <c r="D3884" s="117" t="s">
        <v>996</v>
      </c>
      <c r="E3884" s="118"/>
      <c r="F3884" s="123" t="s">
        <v>418</v>
      </c>
      <c r="G3884" s="124">
        <v>5.3</v>
      </c>
      <c r="H3884" s="144">
        <f>VLOOKUP(D3884,Bahan,6,FALSE)</f>
        <v>7540</v>
      </c>
      <c r="I3884" s="126">
        <f>G3884*H3884</f>
        <v>39962</v>
      </c>
    </row>
    <row r="3885" spans="2:10" ht="15.95" customHeight="1" x14ac:dyDescent="0.25">
      <c r="C3885" s="122"/>
      <c r="D3885" s="117" t="s">
        <v>380</v>
      </c>
      <c r="E3885" s="118"/>
      <c r="F3885" s="123" t="s">
        <v>133</v>
      </c>
      <c r="G3885" s="124">
        <v>1.65</v>
      </c>
      <c r="H3885" s="144">
        <f>VLOOKUP(D3885,Bahan,6,FALSE)</f>
        <v>1880</v>
      </c>
      <c r="I3885" s="126">
        <f>G3885*H3885</f>
        <v>3102</v>
      </c>
    </row>
    <row r="3886" spans="2:10" ht="15.95" customHeight="1" thickBot="1" x14ac:dyDescent="0.3">
      <c r="C3886" s="122"/>
      <c r="D3886" s="117" t="s">
        <v>493</v>
      </c>
      <c r="E3886" s="118"/>
      <c r="F3886" s="123" t="s">
        <v>489</v>
      </c>
      <c r="G3886" s="124">
        <v>4.0000000000000001E-3</v>
      </c>
      <c r="H3886" s="144">
        <f>VLOOKUP(D3886,Bahan,6,FALSE)</f>
        <v>253510</v>
      </c>
      <c r="I3886" s="126">
        <f>G3886*H3886</f>
        <v>1014.0400000000001</v>
      </c>
    </row>
    <row r="3887" spans="2:10" ht="15.95" customHeight="1" thickBot="1" x14ac:dyDescent="0.3">
      <c r="C3887" s="132"/>
      <c r="D3887" s="133"/>
      <c r="E3887" s="134"/>
      <c r="F3887" s="134"/>
      <c r="G3887" s="135" t="s">
        <v>386</v>
      </c>
      <c r="H3887" s="136"/>
      <c r="I3887" s="137">
        <f>SUM(I3884:I3886)</f>
        <v>44078.04</v>
      </c>
    </row>
    <row r="3888" spans="2:10" ht="15.95" customHeight="1" thickBot="1" x14ac:dyDescent="0.3">
      <c r="C3888" s="116" t="s">
        <v>387</v>
      </c>
      <c r="D3888" s="117" t="s">
        <v>388</v>
      </c>
      <c r="E3888" s="118"/>
      <c r="F3888" s="118"/>
      <c r="G3888" s="165"/>
      <c r="H3888" s="144">
        <f>IF(AND(D3888&lt;&gt;"",F3888&lt;&gt;""),IF(C3888="",IF(F3888="OH",VLOOKUP(D3888,[1]UPAH!$B$3:$G$32,7,0),VLOOKUP(D3888,[1]BAHAN!$A$2:$D$3,4,0)),0),0)</f>
        <v>0</v>
      </c>
      <c r="I3888" s="126">
        <f>G3888*H3888</f>
        <v>0</v>
      </c>
    </row>
    <row r="3889" spans="2:10" ht="15.95" customHeight="1" thickBot="1" x14ac:dyDescent="0.3">
      <c r="C3889" s="132"/>
      <c r="D3889" s="133"/>
      <c r="E3889" s="134"/>
      <c r="F3889" s="134"/>
      <c r="G3889" s="135" t="s">
        <v>389</v>
      </c>
      <c r="H3889" s="136"/>
      <c r="I3889" s="137">
        <f>I3888</f>
        <v>0</v>
      </c>
    </row>
    <row r="3890" spans="2:10" ht="15.95" customHeight="1" x14ac:dyDescent="0.25">
      <c r="C3890" s="158" t="s">
        <v>390</v>
      </c>
      <c r="D3890" s="159" t="s">
        <v>391</v>
      </c>
      <c r="E3890" s="160"/>
      <c r="F3890" s="160"/>
      <c r="G3890" s="161"/>
      <c r="H3890" s="162">
        <f>IF(AND(D3890&lt;&gt;"",F3890&lt;&gt;""),IF(C3890="",IF(F3890="OH",VLOOKUP(D3890,[1]UPAH!$B$3:$G$32,7,0),VLOOKUP(D3890,[1]BAHAN!$A$2:$D$3,4,0)),0),0)</f>
        <v>0</v>
      </c>
      <c r="I3890" s="126">
        <f>SUM(I3878:I3889)/2</f>
        <v>71163.039999999994</v>
      </c>
    </row>
    <row r="3891" spans="2:10" ht="15.95" customHeight="1" thickBot="1" x14ac:dyDescent="0.3">
      <c r="C3891" s="147" t="s">
        <v>392</v>
      </c>
      <c r="D3891" s="148" t="s">
        <v>393</v>
      </c>
      <c r="E3891" s="149"/>
      <c r="F3891" s="149"/>
      <c r="G3891" s="164">
        <v>0.1</v>
      </c>
      <c r="H3891" s="151"/>
      <c r="I3891" s="146">
        <f>G3891*I3890</f>
        <v>7116.3040000000001</v>
      </c>
    </row>
    <row r="3892" spans="2:10" ht="15.95" customHeight="1" thickBot="1" x14ac:dyDescent="0.3">
      <c r="C3892" s="111" t="s">
        <v>394</v>
      </c>
      <c r="D3892" s="112" t="s">
        <v>395</v>
      </c>
      <c r="E3892" s="134"/>
      <c r="F3892" s="134"/>
      <c r="G3892" s="156"/>
      <c r="H3892" s="136">
        <f>IF(AND(D3892&lt;&gt;"",F3892&lt;&gt;""),IF(C3892="",IF(F3892="OH",VLOOKUP(D3892,[1]UPAH!$B$3:$G$32,7,0),VLOOKUP(D3892,[1]BAHAN!$A$2:$D$3,4,0)),0),0)</f>
        <v>0</v>
      </c>
      <c r="I3892" s="137">
        <f>ROUNDDOWN(I3890+I3891,0)</f>
        <v>78279</v>
      </c>
    </row>
    <row r="3893" spans="2:10" ht="15.95" customHeight="1" x14ac:dyDescent="0.25">
      <c r="C3893" s="109"/>
      <c r="D3893" s="109"/>
      <c r="G3893" s="157"/>
    </row>
    <row r="3894" spans="2:10" ht="15.95" customHeight="1" thickBot="1" x14ac:dyDescent="0.3">
      <c r="B3894" s="109" t="s">
        <v>997</v>
      </c>
      <c r="C3894" s="104" t="s">
        <v>998</v>
      </c>
      <c r="G3894" s="157"/>
      <c r="J3894" s="110">
        <f>I3911</f>
        <v>57657</v>
      </c>
    </row>
    <row r="3895" spans="2:10" ht="15.95" customHeight="1" thickBot="1" x14ac:dyDescent="0.3">
      <c r="C3895" s="111" t="s">
        <v>328</v>
      </c>
      <c r="D3895" s="112" t="s">
        <v>359</v>
      </c>
      <c r="E3895" s="113" t="s">
        <v>360</v>
      </c>
      <c r="F3895" s="113" t="s">
        <v>330</v>
      </c>
      <c r="G3895" s="114" t="s">
        <v>361</v>
      </c>
      <c r="H3895" s="112" t="s">
        <v>362</v>
      </c>
      <c r="I3895" s="115" t="s">
        <v>363</v>
      </c>
    </row>
    <row r="3896" spans="2:10" ht="15.95" customHeight="1" x14ac:dyDescent="0.25">
      <c r="C3896" s="116" t="s">
        <v>364</v>
      </c>
      <c r="D3896" s="117" t="s">
        <v>365</v>
      </c>
      <c r="E3896" s="118"/>
      <c r="F3896" s="118"/>
      <c r="G3896" s="165"/>
      <c r="H3896" s="144">
        <f>IF(AND(D3896&lt;&gt;"",F3896&lt;&gt;""),IF(C3896="",IF(F3896="OH",VLOOKUP(E3896,[1]UPAH!$A$3:$G$104,7,0),VLOOKUP(E3896,[1]BAHAN!$A$2:$D$3,4,0)),0),0)</f>
        <v>0</v>
      </c>
      <c r="I3896" s="126"/>
    </row>
    <row r="3897" spans="2:10" ht="15.95" customHeight="1" x14ac:dyDescent="0.25">
      <c r="C3897" s="122"/>
      <c r="D3897" s="117" t="s">
        <v>366</v>
      </c>
      <c r="E3897" s="123" t="s">
        <v>367</v>
      </c>
      <c r="F3897" s="123" t="s">
        <v>368</v>
      </c>
      <c r="G3897" s="124">
        <v>0.09</v>
      </c>
      <c r="H3897" s="125">
        <f>VLOOKUP(D3897,Upah,8,FALSE)</f>
        <v>125000</v>
      </c>
      <c r="I3897" s="126">
        <f>G3897*H3897</f>
        <v>11250</v>
      </c>
    </row>
    <row r="3898" spans="2:10" ht="15.95" customHeight="1" x14ac:dyDescent="0.25">
      <c r="C3898" s="122"/>
      <c r="D3898" s="117" t="s">
        <v>505</v>
      </c>
      <c r="E3898" s="123" t="s">
        <v>414</v>
      </c>
      <c r="F3898" s="123" t="s">
        <v>368</v>
      </c>
      <c r="G3898" s="124">
        <v>0.09</v>
      </c>
      <c r="H3898" s="125">
        <f>VLOOKUP(D3898,Upah,8,FALSE)</f>
        <v>150000</v>
      </c>
      <c r="I3898" s="126">
        <f>G3898*H3898</f>
        <v>13500</v>
      </c>
    </row>
    <row r="3899" spans="2:10" ht="15.95" customHeight="1" x14ac:dyDescent="0.25">
      <c r="C3899" s="122"/>
      <c r="D3899" s="117" t="s">
        <v>429</v>
      </c>
      <c r="E3899" s="123" t="s">
        <v>372</v>
      </c>
      <c r="F3899" s="123" t="s">
        <v>368</v>
      </c>
      <c r="G3899" s="124">
        <v>8.9999999999999993E-3</v>
      </c>
      <c r="H3899" s="125">
        <f>VLOOKUP(D3899,Upah,8,FALSE)</f>
        <v>165000</v>
      </c>
      <c r="I3899" s="126">
        <f>G3899*H3899</f>
        <v>1485</v>
      </c>
    </row>
    <row r="3900" spans="2:10" ht="15.95" customHeight="1" thickBot="1" x14ac:dyDescent="0.3">
      <c r="C3900" s="122"/>
      <c r="D3900" s="117" t="s">
        <v>373</v>
      </c>
      <c r="E3900" s="123" t="s">
        <v>374</v>
      </c>
      <c r="F3900" s="123" t="s">
        <v>368</v>
      </c>
      <c r="G3900" s="124">
        <v>5.0000000000000001E-3</v>
      </c>
      <c r="H3900" s="125">
        <f>VLOOKUP(D3900,Upah,8,FALSE)</f>
        <v>170000</v>
      </c>
      <c r="I3900" s="126">
        <f>G3900*H3900</f>
        <v>850</v>
      </c>
    </row>
    <row r="3901" spans="2:10" ht="15.95" customHeight="1" thickBot="1" x14ac:dyDescent="0.3">
      <c r="C3901" s="132"/>
      <c r="D3901" s="133"/>
      <c r="E3901" s="134"/>
      <c r="F3901" s="134"/>
      <c r="G3901" s="135" t="s">
        <v>375</v>
      </c>
      <c r="H3901" s="136"/>
      <c r="I3901" s="137">
        <f>SUM(I3897:I3900)</f>
        <v>27085</v>
      </c>
    </row>
    <row r="3902" spans="2:10" ht="15.95" customHeight="1" x14ac:dyDescent="0.25">
      <c r="C3902" s="116" t="s">
        <v>376</v>
      </c>
      <c r="D3902" s="117" t="s">
        <v>377</v>
      </c>
      <c r="E3902" s="118"/>
      <c r="F3902" s="118"/>
      <c r="G3902" s="165"/>
      <c r="H3902" s="144"/>
      <c r="I3902" s="126"/>
    </row>
    <row r="3903" spans="2:10" ht="15.95" customHeight="1" x14ac:dyDescent="0.25">
      <c r="C3903" s="122"/>
      <c r="D3903" s="117" t="s">
        <v>999</v>
      </c>
      <c r="E3903" s="118"/>
      <c r="F3903" s="123" t="s">
        <v>418</v>
      </c>
      <c r="G3903" s="124">
        <v>3.53</v>
      </c>
      <c r="H3903" s="144">
        <f>VLOOKUP(D3903,Bahan,6,FALSE)</f>
        <v>6300</v>
      </c>
      <c r="I3903" s="126">
        <f>G3903*H3903</f>
        <v>22239</v>
      </c>
    </row>
    <row r="3904" spans="2:10" ht="15.95" customHeight="1" x14ac:dyDescent="0.25">
      <c r="C3904" s="122"/>
      <c r="D3904" s="117" t="s">
        <v>380</v>
      </c>
      <c r="E3904" s="118"/>
      <c r="F3904" s="123" t="s">
        <v>133</v>
      </c>
      <c r="G3904" s="124">
        <v>1.24</v>
      </c>
      <c r="H3904" s="144">
        <f>VLOOKUP(D3904,Bahan,6,FALSE)</f>
        <v>1880</v>
      </c>
      <c r="I3904" s="126">
        <f>G3904*H3904</f>
        <v>2331.1999999999998</v>
      </c>
    </row>
    <row r="3905" spans="2:10" ht="15.95" customHeight="1" thickBot="1" x14ac:dyDescent="0.3">
      <c r="C3905" s="122"/>
      <c r="D3905" s="117" t="s">
        <v>493</v>
      </c>
      <c r="E3905" s="118"/>
      <c r="F3905" s="123" t="s">
        <v>489</v>
      </c>
      <c r="G3905" s="124">
        <v>3.0000000000000001E-3</v>
      </c>
      <c r="H3905" s="144">
        <f>VLOOKUP(D3905,Bahan,6,FALSE)</f>
        <v>253510</v>
      </c>
      <c r="I3905" s="126">
        <f>G3905*H3905</f>
        <v>760.53</v>
      </c>
    </row>
    <row r="3906" spans="2:10" ht="15.95" customHeight="1" thickBot="1" x14ac:dyDescent="0.3">
      <c r="C3906" s="132"/>
      <c r="D3906" s="133"/>
      <c r="E3906" s="134"/>
      <c r="F3906" s="134"/>
      <c r="G3906" s="135" t="s">
        <v>386</v>
      </c>
      <c r="H3906" s="136"/>
      <c r="I3906" s="137">
        <f>SUM(I3903:I3905)</f>
        <v>25330.73</v>
      </c>
    </row>
    <row r="3907" spans="2:10" ht="15.95" customHeight="1" thickBot="1" x14ac:dyDescent="0.3">
      <c r="C3907" s="116" t="s">
        <v>387</v>
      </c>
      <c r="D3907" s="117" t="s">
        <v>388</v>
      </c>
      <c r="E3907" s="118"/>
      <c r="F3907" s="118"/>
      <c r="G3907" s="165"/>
      <c r="H3907" s="144">
        <f>IF(AND(D3907&lt;&gt;"",F3907&lt;&gt;""),IF(C3907="",IF(F3907="OH",VLOOKUP(D3907,[1]UPAH!$B$3:$G$32,7,0),VLOOKUP(D3907,[1]BAHAN!$A$2:$D$3,4,0)),0),0)</f>
        <v>0</v>
      </c>
      <c r="I3907" s="126">
        <f>G3907*H3907</f>
        <v>0</v>
      </c>
    </row>
    <row r="3908" spans="2:10" ht="15.95" customHeight="1" thickBot="1" x14ac:dyDescent="0.3">
      <c r="C3908" s="132"/>
      <c r="D3908" s="133"/>
      <c r="E3908" s="134"/>
      <c r="F3908" s="134"/>
      <c r="G3908" s="135" t="s">
        <v>389</v>
      </c>
      <c r="H3908" s="136"/>
      <c r="I3908" s="137">
        <f>I3907</f>
        <v>0</v>
      </c>
    </row>
    <row r="3909" spans="2:10" ht="15.95" customHeight="1" x14ac:dyDescent="0.25">
      <c r="C3909" s="158" t="s">
        <v>390</v>
      </c>
      <c r="D3909" s="159" t="s">
        <v>391</v>
      </c>
      <c r="E3909" s="160"/>
      <c r="F3909" s="160"/>
      <c r="G3909" s="161"/>
      <c r="H3909" s="162">
        <f>IF(AND(D3909&lt;&gt;"",F3909&lt;&gt;""),IF(C3909="",IF(F3909="OH",VLOOKUP(D3909,[1]UPAH!$B$3:$G$32,7,0),VLOOKUP(D3909,[1]BAHAN!$A$2:$D$3,4,0)),0),0)</f>
        <v>0</v>
      </c>
      <c r="I3909" s="126">
        <f>SUM(I3896:I3908)/2</f>
        <v>52415.729999999996</v>
      </c>
    </row>
    <row r="3910" spans="2:10" ht="15.95" customHeight="1" thickBot="1" x14ac:dyDescent="0.3">
      <c r="C3910" s="147" t="s">
        <v>392</v>
      </c>
      <c r="D3910" s="148" t="s">
        <v>393</v>
      </c>
      <c r="E3910" s="149"/>
      <c r="F3910" s="149"/>
      <c r="G3910" s="164">
        <v>0.1</v>
      </c>
      <c r="H3910" s="151"/>
      <c r="I3910" s="146">
        <f>G3910*I3909</f>
        <v>5241.5730000000003</v>
      </c>
    </row>
    <row r="3911" spans="2:10" ht="15.95" customHeight="1" thickBot="1" x14ac:dyDescent="0.3">
      <c r="C3911" s="111" t="s">
        <v>394</v>
      </c>
      <c r="D3911" s="112" t="s">
        <v>395</v>
      </c>
      <c r="E3911" s="134"/>
      <c r="F3911" s="134"/>
      <c r="G3911" s="156"/>
      <c r="H3911" s="136">
        <f>IF(AND(D3911&lt;&gt;"",F3911&lt;&gt;""),IF(C3911="",IF(F3911="OH",VLOOKUP(D3911,[1]UPAH!$B$3:$G$32,7,0),VLOOKUP(D3911,[1]BAHAN!$A$2:$D$3,4,0)),0),0)</f>
        <v>0</v>
      </c>
      <c r="I3911" s="137">
        <f>ROUNDDOWN(I3909+I3910,0)</f>
        <v>57657</v>
      </c>
    </row>
    <row r="3912" spans="2:10" ht="15.95" customHeight="1" x14ac:dyDescent="0.25">
      <c r="C3912" s="109"/>
      <c r="D3912" s="109"/>
      <c r="G3912" s="157"/>
    </row>
    <row r="3913" spans="2:10" ht="15.95" customHeight="1" thickBot="1" x14ac:dyDescent="0.3">
      <c r="B3913" s="109" t="s">
        <v>1000</v>
      </c>
      <c r="C3913" s="104" t="s">
        <v>1001</v>
      </c>
      <c r="G3913" s="157"/>
      <c r="J3913" s="110">
        <f>I3930</f>
        <v>53832</v>
      </c>
    </row>
    <row r="3914" spans="2:10" ht="15.95" customHeight="1" thickBot="1" x14ac:dyDescent="0.3">
      <c r="C3914" s="111" t="s">
        <v>328</v>
      </c>
      <c r="D3914" s="112" t="s">
        <v>359</v>
      </c>
      <c r="E3914" s="113" t="s">
        <v>360</v>
      </c>
      <c r="F3914" s="113" t="s">
        <v>330</v>
      </c>
      <c r="G3914" s="114" t="s">
        <v>361</v>
      </c>
      <c r="H3914" s="112" t="s">
        <v>362</v>
      </c>
      <c r="I3914" s="115" t="s">
        <v>363</v>
      </c>
    </row>
    <row r="3915" spans="2:10" ht="15.95" customHeight="1" x14ac:dyDescent="0.25">
      <c r="C3915" s="116" t="s">
        <v>364</v>
      </c>
      <c r="D3915" s="117" t="s">
        <v>365</v>
      </c>
      <c r="E3915" s="118"/>
      <c r="F3915" s="118"/>
      <c r="G3915" s="165"/>
      <c r="H3915" s="144"/>
      <c r="I3915" s="126"/>
    </row>
    <row r="3916" spans="2:10" ht="15.95" customHeight="1" x14ac:dyDescent="0.25">
      <c r="C3916" s="122"/>
      <c r="D3916" s="117" t="s">
        <v>366</v>
      </c>
      <c r="E3916" s="123" t="s">
        <v>367</v>
      </c>
      <c r="F3916" s="123" t="s">
        <v>368</v>
      </c>
      <c r="G3916" s="124">
        <v>0.09</v>
      </c>
      <c r="H3916" s="125">
        <f>VLOOKUP(D3916,Upah,8,FALSE)</f>
        <v>125000</v>
      </c>
      <c r="I3916" s="126">
        <f>G3916*H3916</f>
        <v>11250</v>
      </c>
    </row>
    <row r="3917" spans="2:10" ht="15.95" customHeight="1" x14ac:dyDescent="0.25">
      <c r="C3917" s="122"/>
      <c r="D3917" s="117" t="s">
        <v>505</v>
      </c>
      <c r="E3917" s="123" t="s">
        <v>414</v>
      </c>
      <c r="F3917" s="123" t="s">
        <v>368</v>
      </c>
      <c r="G3917" s="124">
        <v>0.09</v>
      </c>
      <c r="H3917" s="125">
        <f>VLOOKUP(D3917,Upah,8,FALSE)</f>
        <v>150000</v>
      </c>
      <c r="I3917" s="126">
        <f>G3917*H3917</f>
        <v>13500</v>
      </c>
    </row>
    <row r="3918" spans="2:10" ht="15.95" customHeight="1" x14ac:dyDescent="0.25">
      <c r="C3918" s="122"/>
      <c r="D3918" s="117" t="s">
        <v>429</v>
      </c>
      <c r="E3918" s="123" t="s">
        <v>372</v>
      </c>
      <c r="F3918" s="123" t="s">
        <v>368</v>
      </c>
      <c r="G3918" s="124">
        <v>8.9999999999999993E-3</v>
      </c>
      <c r="H3918" s="125">
        <f>VLOOKUP(D3918,Upah,8,FALSE)</f>
        <v>165000</v>
      </c>
      <c r="I3918" s="126">
        <f>G3918*H3918</f>
        <v>1485</v>
      </c>
    </row>
    <row r="3919" spans="2:10" ht="15.95" customHeight="1" thickBot="1" x14ac:dyDescent="0.3">
      <c r="C3919" s="122"/>
      <c r="D3919" s="117" t="s">
        <v>373</v>
      </c>
      <c r="E3919" s="123" t="s">
        <v>374</v>
      </c>
      <c r="F3919" s="123" t="s">
        <v>368</v>
      </c>
      <c r="G3919" s="124">
        <v>5.0000000000000001E-3</v>
      </c>
      <c r="H3919" s="125">
        <f>VLOOKUP(D3919,Upah,8,FALSE)</f>
        <v>170000</v>
      </c>
      <c r="I3919" s="126">
        <f>G3919*H3919</f>
        <v>850</v>
      </c>
    </row>
    <row r="3920" spans="2:10" ht="15.95" customHeight="1" thickBot="1" x14ac:dyDescent="0.3">
      <c r="C3920" s="132"/>
      <c r="D3920" s="133"/>
      <c r="E3920" s="134"/>
      <c r="F3920" s="134"/>
      <c r="G3920" s="135" t="s">
        <v>375</v>
      </c>
      <c r="H3920" s="136"/>
      <c r="I3920" s="137">
        <f>SUM(I3916:I3919)</f>
        <v>27085</v>
      </c>
    </row>
    <row r="3921" spans="2:10" ht="15.95" customHeight="1" x14ac:dyDescent="0.25">
      <c r="C3921" s="116" t="s">
        <v>376</v>
      </c>
      <c r="D3921" s="117" t="s">
        <v>377</v>
      </c>
      <c r="E3921" s="118"/>
      <c r="F3921" s="118"/>
      <c r="G3921" s="165"/>
      <c r="H3921" s="144"/>
      <c r="I3921" s="126"/>
    </row>
    <row r="3922" spans="2:10" ht="15.95" customHeight="1" x14ac:dyDescent="0.25">
      <c r="C3922" s="122"/>
      <c r="D3922" s="117" t="s">
        <v>1002</v>
      </c>
      <c r="E3922" s="118"/>
      <c r="F3922" s="123" t="s">
        <v>418</v>
      </c>
      <c r="G3922" s="124">
        <v>2.65</v>
      </c>
      <c r="H3922" s="144">
        <f>VLOOKUP(D3922,Bahan,6,FALSE)</f>
        <v>7080</v>
      </c>
      <c r="I3922" s="126">
        <f>G3922*H3922</f>
        <v>18762</v>
      </c>
    </row>
    <row r="3923" spans="2:10" ht="15.95" customHeight="1" x14ac:dyDescent="0.25">
      <c r="C3923" s="122"/>
      <c r="D3923" s="117" t="s">
        <v>380</v>
      </c>
      <c r="E3923" s="118"/>
      <c r="F3923" s="123" t="s">
        <v>133</v>
      </c>
      <c r="G3923" s="124">
        <v>1.24</v>
      </c>
      <c r="H3923" s="144">
        <f>VLOOKUP(D3923,Bahan,6,FALSE)</f>
        <v>1880</v>
      </c>
      <c r="I3923" s="126">
        <f>G3923*H3923</f>
        <v>2331.1999999999998</v>
      </c>
    </row>
    <row r="3924" spans="2:10" ht="15.95" customHeight="1" thickBot="1" x14ac:dyDescent="0.3">
      <c r="C3924" s="122"/>
      <c r="D3924" s="117" t="s">
        <v>416</v>
      </c>
      <c r="E3924" s="118"/>
      <c r="F3924" s="123" t="s">
        <v>489</v>
      </c>
      <c r="G3924" s="124">
        <v>3.0000000000000001E-3</v>
      </c>
      <c r="H3924" s="144">
        <f>VLOOKUP(D3924,Bahan,6,FALSE)</f>
        <v>253510</v>
      </c>
      <c r="I3924" s="126">
        <f>G3924*H3924</f>
        <v>760.53</v>
      </c>
    </row>
    <row r="3925" spans="2:10" ht="15.95" customHeight="1" thickBot="1" x14ac:dyDescent="0.3">
      <c r="C3925" s="132"/>
      <c r="D3925" s="133"/>
      <c r="E3925" s="134"/>
      <c r="F3925" s="134"/>
      <c r="G3925" s="135" t="s">
        <v>386</v>
      </c>
      <c r="H3925" s="136"/>
      <c r="I3925" s="137">
        <f>SUM(I3922:I3924)</f>
        <v>21853.73</v>
      </c>
    </row>
    <row r="3926" spans="2:10" ht="15.95" customHeight="1" thickBot="1" x14ac:dyDescent="0.3">
      <c r="C3926" s="116" t="s">
        <v>387</v>
      </c>
      <c r="D3926" s="117" t="s">
        <v>388</v>
      </c>
      <c r="E3926" s="118"/>
      <c r="F3926" s="118"/>
      <c r="G3926" s="165"/>
      <c r="H3926" s="144">
        <f>IF(AND(D3926&lt;&gt;"",F3926&lt;&gt;""),IF(C3926="",IF(F3926="OH",VLOOKUP(D3926,[1]UPAH!$B$3:$G$32,7,0),VLOOKUP(D3926,[1]BAHAN!$A$2:$D$3,4,0)),0),0)</f>
        <v>0</v>
      </c>
      <c r="I3926" s="126">
        <f>G3926*H3926</f>
        <v>0</v>
      </c>
    </row>
    <row r="3927" spans="2:10" ht="15.95" customHeight="1" thickBot="1" x14ac:dyDescent="0.3">
      <c r="C3927" s="132"/>
      <c r="D3927" s="133"/>
      <c r="E3927" s="134"/>
      <c r="F3927" s="134"/>
      <c r="G3927" s="135" t="s">
        <v>389</v>
      </c>
      <c r="H3927" s="136"/>
      <c r="I3927" s="137">
        <f>I3926</f>
        <v>0</v>
      </c>
    </row>
    <row r="3928" spans="2:10" ht="15.95" customHeight="1" x14ac:dyDescent="0.25">
      <c r="C3928" s="158" t="s">
        <v>390</v>
      </c>
      <c r="D3928" s="159" t="s">
        <v>391</v>
      </c>
      <c r="E3928" s="160"/>
      <c r="F3928" s="160"/>
      <c r="G3928" s="161"/>
      <c r="H3928" s="162">
        <f>IF(AND(D3928&lt;&gt;"",F3928&lt;&gt;""),IF(C3928="",IF(F3928="OH",VLOOKUP(D3928,[1]UPAH!$B$3:$G$32,7,0),VLOOKUP(D3928,[1]BAHAN!$A$2:$D$3,4,0)),0),0)</f>
        <v>0</v>
      </c>
      <c r="I3928" s="126">
        <f>SUM(I3915:I3927)/2</f>
        <v>48938.729999999996</v>
      </c>
    </row>
    <row r="3929" spans="2:10" ht="15.95" customHeight="1" thickBot="1" x14ac:dyDescent="0.3">
      <c r="C3929" s="147" t="s">
        <v>392</v>
      </c>
      <c r="D3929" s="148" t="s">
        <v>393</v>
      </c>
      <c r="E3929" s="149"/>
      <c r="F3929" s="149"/>
      <c r="G3929" s="164">
        <v>0.1</v>
      </c>
      <c r="H3929" s="151"/>
      <c r="I3929" s="146">
        <f>G3929*I3928</f>
        <v>4893.8729999999996</v>
      </c>
    </row>
    <row r="3930" spans="2:10" ht="15.95" customHeight="1" thickBot="1" x14ac:dyDescent="0.3">
      <c r="C3930" s="111" t="s">
        <v>394</v>
      </c>
      <c r="D3930" s="112" t="s">
        <v>395</v>
      </c>
      <c r="E3930" s="134"/>
      <c r="F3930" s="134"/>
      <c r="G3930" s="156"/>
      <c r="H3930" s="136">
        <f>IF(AND(D3930&lt;&gt;"",F3930&lt;&gt;""),IF(C3930="",IF(F3930="OH",VLOOKUP(D3930,[1]UPAH!$B$3:$G$32,7,0),VLOOKUP(D3930,[1]BAHAN!$A$2:$D$3,4,0)),0),0)</f>
        <v>0</v>
      </c>
      <c r="I3930" s="137">
        <f>ROUNDDOWN(I3928+I3929,0)</f>
        <v>53832</v>
      </c>
    </row>
    <row r="3931" spans="2:10" ht="15.95" customHeight="1" x14ac:dyDescent="0.25">
      <c r="C3931" s="109"/>
      <c r="D3931" s="109"/>
      <c r="G3931" s="157"/>
    </row>
    <row r="3932" spans="2:10" ht="15.95" customHeight="1" thickBot="1" x14ac:dyDescent="0.3">
      <c r="B3932" s="109" t="s">
        <v>1003</v>
      </c>
      <c r="C3932" s="104" t="s">
        <v>1004</v>
      </c>
      <c r="G3932" s="157"/>
      <c r="J3932" s="110">
        <f>I3950</f>
        <v>48095</v>
      </c>
    </row>
    <row r="3933" spans="2:10" ht="15.95" customHeight="1" thickBot="1" x14ac:dyDescent="0.3">
      <c r="C3933" s="111" t="s">
        <v>328</v>
      </c>
      <c r="D3933" s="112" t="s">
        <v>359</v>
      </c>
      <c r="E3933" s="113" t="s">
        <v>360</v>
      </c>
      <c r="F3933" s="113" t="s">
        <v>330</v>
      </c>
      <c r="G3933" s="114" t="s">
        <v>361</v>
      </c>
      <c r="H3933" s="112" t="s">
        <v>362</v>
      </c>
      <c r="I3933" s="115" t="s">
        <v>363</v>
      </c>
    </row>
    <row r="3934" spans="2:10" ht="15.95" customHeight="1" x14ac:dyDescent="0.25">
      <c r="C3934" s="116" t="s">
        <v>364</v>
      </c>
      <c r="D3934" s="117" t="s">
        <v>365</v>
      </c>
      <c r="E3934" s="118"/>
      <c r="F3934" s="118"/>
      <c r="G3934" s="165"/>
      <c r="H3934" s="144"/>
      <c r="I3934" s="126"/>
    </row>
    <row r="3935" spans="2:10" ht="15.95" customHeight="1" x14ac:dyDescent="0.25">
      <c r="C3935" s="122"/>
      <c r="D3935" s="117" t="s">
        <v>366</v>
      </c>
      <c r="E3935" s="123" t="s">
        <v>367</v>
      </c>
      <c r="F3935" s="123" t="s">
        <v>368</v>
      </c>
      <c r="G3935" s="124">
        <v>0.09</v>
      </c>
      <c r="H3935" s="125">
        <f>VLOOKUP(D3935,Upah,8,FALSE)</f>
        <v>125000</v>
      </c>
      <c r="I3935" s="126">
        <f>G3935*H3935</f>
        <v>11250</v>
      </c>
    </row>
    <row r="3936" spans="2:10" ht="15.95" customHeight="1" x14ac:dyDescent="0.25">
      <c r="C3936" s="122"/>
      <c r="D3936" s="117" t="s">
        <v>505</v>
      </c>
      <c r="E3936" s="123" t="s">
        <v>414</v>
      </c>
      <c r="F3936" s="123" t="s">
        <v>368</v>
      </c>
      <c r="G3936" s="124">
        <v>0.09</v>
      </c>
      <c r="H3936" s="125">
        <f>VLOOKUP(D3936,Upah,8,FALSE)</f>
        <v>150000</v>
      </c>
      <c r="I3936" s="126">
        <f>G3936*H3936</f>
        <v>13500</v>
      </c>
    </row>
    <row r="3937" spans="2:10" ht="15.95" customHeight="1" x14ac:dyDescent="0.25">
      <c r="C3937" s="122"/>
      <c r="D3937" s="117" t="s">
        <v>429</v>
      </c>
      <c r="E3937" s="123" t="s">
        <v>372</v>
      </c>
      <c r="F3937" s="123" t="s">
        <v>368</v>
      </c>
      <c r="G3937" s="124">
        <v>8.9999999999999993E-3</v>
      </c>
      <c r="H3937" s="125">
        <f>VLOOKUP(D3937,Upah,8,FALSE)</f>
        <v>165000</v>
      </c>
      <c r="I3937" s="126">
        <f>G3937*H3937</f>
        <v>1485</v>
      </c>
    </row>
    <row r="3938" spans="2:10" ht="15.95" customHeight="1" thickBot="1" x14ac:dyDescent="0.3">
      <c r="C3938" s="122"/>
      <c r="D3938" s="117" t="s">
        <v>373</v>
      </c>
      <c r="E3938" s="123" t="s">
        <v>374</v>
      </c>
      <c r="F3938" s="123" t="s">
        <v>368</v>
      </c>
      <c r="G3938" s="124">
        <v>5.0000000000000001E-3</v>
      </c>
      <c r="H3938" s="125">
        <f>VLOOKUP(D3938,Upah,8,FALSE)</f>
        <v>170000</v>
      </c>
      <c r="I3938" s="126">
        <f>G3938*H3938</f>
        <v>850</v>
      </c>
    </row>
    <row r="3939" spans="2:10" ht="15.95" customHeight="1" thickBot="1" x14ac:dyDescent="0.3">
      <c r="C3939" s="132"/>
      <c r="D3939" s="133"/>
      <c r="E3939" s="134"/>
      <c r="F3939" s="134"/>
      <c r="G3939" s="135" t="s">
        <v>375</v>
      </c>
      <c r="H3939" s="136"/>
      <c r="I3939" s="137">
        <f>SUM(I3935:I3938)</f>
        <v>27085</v>
      </c>
    </row>
    <row r="3940" spans="2:10" ht="15.95" customHeight="1" x14ac:dyDescent="0.25">
      <c r="C3940" s="116" t="s">
        <v>376</v>
      </c>
      <c r="D3940" s="117" t="s">
        <v>377</v>
      </c>
      <c r="E3940" s="118"/>
      <c r="F3940" s="118"/>
      <c r="G3940" s="165"/>
      <c r="H3940" s="144"/>
      <c r="I3940" s="126"/>
    </row>
    <row r="3941" spans="2:10" ht="15.95" customHeight="1" x14ac:dyDescent="0.25">
      <c r="C3941" s="122"/>
      <c r="D3941" s="117" t="s">
        <v>1005</v>
      </c>
      <c r="E3941" s="118"/>
      <c r="F3941" s="123" t="s">
        <v>418</v>
      </c>
      <c r="G3941" s="124">
        <v>2.65</v>
      </c>
      <c r="H3941" s="144">
        <f>VLOOKUP(D3941,Bahan,6,FALSE)</f>
        <v>5090</v>
      </c>
      <c r="I3941" s="126">
        <f>G3941*H3941</f>
        <v>13488.5</v>
      </c>
    </row>
    <row r="3942" spans="2:10" ht="15.95" customHeight="1" x14ac:dyDescent="0.25">
      <c r="C3942" s="122"/>
      <c r="D3942" s="117" t="s">
        <v>380</v>
      </c>
      <c r="E3942" s="118"/>
      <c r="F3942" s="123" t="s">
        <v>133</v>
      </c>
      <c r="G3942" s="124">
        <v>1.1399999999999999</v>
      </c>
      <c r="H3942" s="144">
        <f>VLOOKUP(D3942,Bahan,6,FALSE)</f>
        <v>1880</v>
      </c>
      <c r="I3942" s="126">
        <f>G3942*H3942</f>
        <v>2143.1999999999998</v>
      </c>
    </row>
    <row r="3943" spans="2:10" ht="15.95" customHeight="1" x14ac:dyDescent="0.25">
      <c r="C3943" s="122"/>
      <c r="D3943" s="117" t="s">
        <v>960</v>
      </c>
      <c r="E3943" s="118"/>
      <c r="F3943" s="123" t="s">
        <v>159</v>
      </c>
      <c r="G3943" s="124">
        <v>0.1</v>
      </c>
      <c r="H3943" s="144">
        <f>VLOOKUP(D3943,Bahan,6,FALSE)</f>
        <v>2460</v>
      </c>
      <c r="I3943" s="126">
        <f>G3943*H3943</f>
        <v>246</v>
      </c>
    </row>
    <row r="3944" spans="2:10" ht="15.95" customHeight="1" thickBot="1" x14ac:dyDescent="0.3">
      <c r="C3944" s="122"/>
      <c r="D3944" s="117" t="s">
        <v>493</v>
      </c>
      <c r="E3944" s="118"/>
      <c r="F3944" s="123" t="s">
        <v>489</v>
      </c>
      <c r="G3944" s="124">
        <v>3.0000000000000001E-3</v>
      </c>
      <c r="H3944" s="144">
        <f>VLOOKUP(D3944,Bahan,6,FALSE)</f>
        <v>253510</v>
      </c>
      <c r="I3944" s="126">
        <f>G3944*H3944</f>
        <v>760.53</v>
      </c>
    </row>
    <row r="3945" spans="2:10" ht="15.95" customHeight="1" thickBot="1" x14ac:dyDescent="0.3">
      <c r="C3945" s="132"/>
      <c r="D3945" s="133"/>
      <c r="E3945" s="134"/>
      <c r="F3945" s="134"/>
      <c r="G3945" s="135" t="s">
        <v>386</v>
      </c>
      <c r="H3945" s="136"/>
      <c r="I3945" s="137">
        <f>SUM(I3941:I3944)</f>
        <v>16638.23</v>
      </c>
    </row>
    <row r="3946" spans="2:10" ht="15.95" customHeight="1" thickBot="1" x14ac:dyDescent="0.3">
      <c r="C3946" s="116" t="s">
        <v>387</v>
      </c>
      <c r="D3946" s="117" t="s">
        <v>388</v>
      </c>
      <c r="E3946" s="118"/>
      <c r="F3946" s="118"/>
      <c r="G3946" s="165"/>
      <c r="H3946" s="144">
        <f>IF(AND(D3946&lt;&gt;"",F3946&lt;&gt;""),IF(C3946="",IF(F3946="OH",VLOOKUP(D3946,[1]UPAH!$B$3:$G$32,7,0),VLOOKUP(D3946,[1]BAHAN!$A$2:$D$3,4,0)),0),0)</f>
        <v>0</v>
      </c>
      <c r="I3946" s="126">
        <f>G3946*H3946</f>
        <v>0</v>
      </c>
    </row>
    <row r="3947" spans="2:10" ht="15.95" customHeight="1" thickBot="1" x14ac:dyDescent="0.3">
      <c r="C3947" s="132"/>
      <c r="D3947" s="133"/>
      <c r="E3947" s="134"/>
      <c r="F3947" s="134"/>
      <c r="G3947" s="135" t="s">
        <v>389</v>
      </c>
      <c r="H3947" s="136"/>
      <c r="I3947" s="137">
        <f>I3946</f>
        <v>0</v>
      </c>
    </row>
    <row r="3948" spans="2:10" ht="15.95" customHeight="1" x14ac:dyDescent="0.25">
      <c r="C3948" s="158" t="s">
        <v>390</v>
      </c>
      <c r="D3948" s="159" t="s">
        <v>391</v>
      </c>
      <c r="E3948" s="160"/>
      <c r="F3948" s="160"/>
      <c r="G3948" s="161"/>
      <c r="H3948" s="162">
        <f>IF(AND(D3948&lt;&gt;"",F3948&lt;&gt;""),IF(C3948="",IF(F3948="OH",VLOOKUP(D3948,[1]UPAH!$B$3:$G$32,7,0),VLOOKUP(D3948,[1]BAHAN!$A$2:$D$3,4,0)),0),0)</f>
        <v>0</v>
      </c>
      <c r="I3948" s="126">
        <f>SUM(I3935:I3947)/2</f>
        <v>43723.229999999996</v>
      </c>
    </row>
    <row r="3949" spans="2:10" ht="15.95" customHeight="1" thickBot="1" x14ac:dyDescent="0.3">
      <c r="C3949" s="147" t="s">
        <v>392</v>
      </c>
      <c r="D3949" s="148" t="s">
        <v>393</v>
      </c>
      <c r="E3949" s="149"/>
      <c r="F3949" s="149"/>
      <c r="G3949" s="164">
        <v>0.1</v>
      </c>
      <c r="H3949" s="151"/>
      <c r="I3949" s="146">
        <f>G3949*I3948</f>
        <v>4372.3229999999994</v>
      </c>
    </row>
    <row r="3950" spans="2:10" ht="15.95" customHeight="1" thickBot="1" x14ac:dyDescent="0.3">
      <c r="C3950" s="111" t="s">
        <v>394</v>
      </c>
      <c r="D3950" s="112" t="s">
        <v>395</v>
      </c>
      <c r="E3950" s="134"/>
      <c r="F3950" s="134"/>
      <c r="G3950" s="156"/>
      <c r="H3950" s="136">
        <f>IF(AND(D3950&lt;&gt;"",F3950&lt;&gt;""),IF(C3950="",IF(F3950="OH",VLOOKUP(D3950,[1]UPAH!$B$3:$G$32,7,0),VLOOKUP(D3950,[1]BAHAN!$A$2:$D$3,4,0)),0),0)</f>
        <v>0</v>
      </c>
      <c r="I3950" s="137">
        <f>ROUNDDOWN(I3948+I3949,0)</f>
        <v>48095</v>
      </c>
    </row>
    <row r="3951" spans="2:10" ht="15.95" customHeight="1" x14ac:dyDescent="0.25">
      <c r="C3951" s="109"/>
      <c r="D3951" s="109"/>
      <c r="G3951" s="157"/>
    </row>
    <row r="3952" spans="2:10" ht="15.95" customHeight="1" thickBot="1" x14ac:dyDescent="0.3">
      <c r="B3952" s="109" t="s">
        <v>1006</v>
      </c>
      <c r="C3952" s="104" t="s">
        <v>1007</v>
      </c>
      <c r="G3952" s="157"/>
      <c r="J3952" s="110">
        <f>I3970</f>
        <v>55391</v>
      </c>
    </row>
    <row r="3953" spans="3:9" ht="15.95" customHeight="1" thickBot="1" x14ac:dyDescent="0.3">
      <c r="C3953" s="111" t="s">
        <v>328</v>
      </c>
      <c r="D3953" s="112" t="s">
        <v>359</v>
      </c>
      <c r="E3953" s="113" t="s">
        <v>360</v>
      </c>
      <c r="F3953" s="113" t="s">
        <v>330</v>
      </c>
      <c r="G3953" s="114" t="s">
        <v>361</v>
      </c>
      <c r="H3953" s="112" t="s">
        <v>362</v>
      </c>
      <c r="I3953" s="115" t="s">
        <v>363</v>
      </c>
    </row>
    <row r="3954" spans="3:9" ht="15.95" customHeight="1" x14ac:dyDescent="0.25">
      <c r="C3954" s="116" t="s">
        <v>364</v>
      </c>
      <c r="D3954" s="117" t="s">
        <v>365</v>
      </c>
      <c r="E3954" s="118"/>
      <c r="F3954" s="118"/>
      <c r="G3954" s="165"/>
      <c r="H3954" s="144"/>
      <c r="I3954" s="126"/>
    </row>
    <row r="3955" spans="3:9" ht="15.95" customHeight="1" x14ac:dyDescent="0.25">
      <c r="C3955" s="122"/>
      <c r="D3955" s="117" t="s">
        <v>366</v>
      </c>
      <c r="E3955" s="123" t="s">
        <v>367</v>
      </c>
      <c r="F3955" s="123" t="s">
        <v>368</v>
      </c>
      <c r="G3955" s="124">
        <v>0.09</v>
      </c>
      <c r="H3955" s="125">
        <f>VLOOKUP(D3955,Upah,8,FALSE)</f>
        <v>125000</v>
      </c>
      <c r="I3955" s="126">
        <f>G3955*H3955</f>
        <v>11250</v>
      </c>
    </row>
    <row r="3956" spans="3:9" ht="15.95" customHeight="1" x14ac:dyDescent="0.25">
      <c r="C3956" s="122"/>
      <c r="D3956" s="117" t="s">
        <v>505</v>
      </c>
      <c r="E3956" s="123" t="s">
        <v>414</v>
      </c>
      <c r="F3956" s="123" t="s">
        <v>368</v>
      </c>
      <c r="G3956" s="124">
        <v>0.09</v>
      </c>
      <c r="H3956" s="125">
        <f>VLOOKUP(D3956,Upah,8,FALSE)</f>
        <v>150000</v>
      </c>
      <c r="I3956" s="126">
        <f>G3956*H3956</f>
        <v>13500</v>
      </c>
    </row>
    <row r="3957" spans="3:9" ht="15.95" customHeight="1" x14ac:dyDescent="0.25">
      <c r="C3957" s="122"/>
      <c r="D3957" s="117" t="s">
        <v>429</v>
      </c>
      <c r="E3957" s="123" t="s">
        <v>372</v>
      </c>
      <c r="F3957" s="123" t="s">
        <v>368</v>
      </c>
      <c r="G3957" s="124">
        <v>8.9999999999999993E-3</v>
      </c>
      <c r="H3957" s="125">
        <f>VLOOKUP(D3957,Upah,8,FALSE)</f>
        <v>165000</v>
      </c>
      <c r="I3957" s="126">
        <f>G3957*H3957</f>
        <v>1485</v>
      </c>
    </row>
    <row r="3958" spans="3:9" ht="15.95" customHeight="1" thickBot="1" x14ac:dyDescent="0.3">
      <c r="C3958" s="122"/>
      <c r="D3958" s="117" t="s">
        <v>373</v>
      </c>
      <c r="E3958" s="123" t="s">
        <v>374</v>
      </c>
      <c r="F3958" s="123" t="s">
        <v>368</v>
      </c>
      <c r="G3958" s="124">
        <v>5.0000000000000001E-3</v>
      </c>
      <c r="H3958" s="125">
        <f>VLOOKUP(D3958,Upah,8,FALSE)</f>
        <v>170000</v>
      </c>
      <c r="I3958" s="126">
        <f>G3958*H3958</f>
        <v>850</v>
      </c>
    </row>
    <row r="3959" spans="3:9" ht="15.95" customHeight="1" thickBot="1" x14ac:dyDescent="0.3">
      <c r="C3959" s="132"/>
      <c r="D3959" s="133"/>
      <c r="E3959" s="134"/>
      <c r="F3959" s="134"/>
      <c r="G3959" s="135" t="s">
        <v>375</v>
      </c>
      <c r="H3959" s="136"/>
      <c r="I3959" s="137">
        <f>SUM(I3955:I3958)</f>
        <v>27085</v>
      </c>
    </row>
    <row r="3960" spans="3:9" ht="15.95" customHeight="1" x14ac:dyDescent="0.25">
      <c r="C3960" s="116" t="s">
        <v>376</v>
      </c>
      <c r="D3960" s="117" t="s">
        <v>377</v>
      </c>
      <c r="E3960" s="118"/>
      <c r="F3960" s="118"/>
      <c r="G3960" s="165"/>
      <c r="H3960" s="144"/>
      <c r="I3960" s="126"/>
    </row>
    <row r="3961" spans="3:9" ht="15.95" customHeight="1" x14ac:dyDescent="0.25">
      <c r="C3961" s="122"/>
      <c r="D3961" s="117" t="s">
        <v>1008</v>
      </c>
      <c r="E3961" s="118"/>
      <c r="F3961" s="123" t="s">
        <v>418</v>
      </c>
      <c r="G3961" s="124">
        <v>3.53</v>
      </c>
      <c r="H3961" s="144">
        <f>VLOOKUP(D3961,Bahan,6,FALSE)</f>
        <v>5700</v>
      </c>
      <c r="I3961" s="126">
        <f>G3961*H3961</f>
        <v>20121</v>
      </c>
    </row>
    <row r="3962" spans="3:9" ht="15.95" customHeight="1" x14ac:dyDescent="0.25">
      <c r="C3962" s="122"/>
      <c r="D3962" s="117" t="s">
        <v>380</v>
      </c>
      <c r="E3962" s="118"/>
      <c r="F3962" s="123" t="s">
        <v>133</v>
      </c>
      <c r="G3962" s="124">
        <v>1.1399999999999999</v>
      </c>
      <c r="H3962" s="144">
        <f>VLOOKUP(D3962,Bahan,6,FALSE)</f>
        <v>1880</v>
      </c>
      <c r="I3962" s="126">
        <f>G3962*H3962</f>
        <v>2143.1999999999998</v>
      </c>
    </row>
    <row r="3963" spans="3:9" ht="15.95" customHeight="1" x14ac:dyDescent="0.25">
      <c r="C3963" s="122"/>
      <c r="D3963" s="117" t="s">
        <v>960</v>
      </c>
      <c r="E3963" s="118"/>
      <c r="F3963" s="123" t="s">
        <v>159</v>
      </c>
      <c r="G3963" s="124">
        <v>0.1</v>
      </c>
      <c r="H3963" s="144">
        <f>VLOOKUP(D3963,Bahan,6,FALSE)</f>
        <v>2460</v>
      </c>
      <c r="I3963" s="126">
        <f>G3963*H3963</f>
        <v>246</v>
      </c>
    </row>
    <row r="3964" spans="3:9" ht="15.95" customHeight="1" thickBot="1" x14ac:dyDescent="0.3">
      <c r="C3964" s="122"/>
      <c r="D3964" s="117" t="s">
        <v>493</v>
      </c>
      <c r="E3964" s="118"/>
      <c r="F3964" s="123" t="s">
        <v>489</v>
      </c>
      <c r="G3964" s="124">
        <v>3.0000000000000001E-3</v>
      </c>
      <c r="H3964" s="144">
        <f>VLOOKUP(D3964,Bahan,6,FALSE)</f>
        <v>253510</v>
      </c>
      <c r="I3964" s="126">
        <f>G3964*H3964</f>
        <v>760.53</v>
      </c>
    </row>
    <row r="3965" spans="3:9" ht="15.95" customHeight="1" thickBot="1" x14ac:dyDescent="0.3">
      <c r="C3965" s="132"/>
      <c r="D3965" s="133"/>
      <c r="E3965" s="134"/>
      <c r="F3965" s="134"/>
      <c r="G3965" s="135" t="s">
        <v>386</v>
      </c>
      <c r="H3965" s="136"/>
      <c r="I3965" s="137">
        <f>SUM(I3961:I3964)</f>
        <v>23270.73</v>
      </c>
    </row>
    <row r="3966" spans="3:9" ht="15.95" customHeight="1" thickBot="1" x14ac:dyDescent="0.3">
      <c r="C3966" s="116" t="s">
        <v>387</v>
      </c>
      <c r="D3966" s="117" t="s">
        <v>388</v>
      </c>
      <c r="E3966" s="118"/>
      <c r="F3966" s="118"/>
      <c r="G3966" s="165"/>
      <c r="H3966" s="144">
        <f>IF(AND(D3966&lt;&gt;"",F3966&lt;&gt;""),IF(C3966="",IF(F3966="OH",VLOOKUP(D3966,[1]UPAH!$B$3:$G$32,7,0),VLOOKUP(D3966,[1]BAHAN!$A$2:$D$3,4,0)),0),0)</f>
        <v>0</v>
      </c>
      <c r="I3966" s="126">
        <f>G3966*H3966</f>
        <v>0</v>
      </c>
    </row>
    <row r="3967" spans="3:9" ht="15.95" customHeight="1" thickBot="1" x14ac:dyDescent="0.3">
      <c r="C3967" s="132"/>
      <c r="D3967" s="133"/>
      <c r="E3967" s="134"/>
      <c r="F3967" s="134"/>
      <c r="G3967" s="135" t="s">
        <v>389</v>
      </c>
      <c r="H3967" s="136"/>
      <c r="I3967" s="137">
        <f>I3966</f>
        <v>0</v>
      </c>
    </row>
    <row r="3968" spans="3:9" ht="15.95" customHeight="1" x14ac:dyDescent="0.25">
      <c r="C3968" s="158" t="s">
        <v>390</v>
      </c>
      <c r="D3968" s="159" t="s">
        <v>391</v>
      </c>
      <c r="E3968" s="160"/>
      <c r="F3968" s="160"/>
      <c r="G3968" s="161"/>
      <c r="H3968" s="162">
        <f>IF(AND(D3968&lt;&gt;"",F3968&lt;&gt;""),IF(C3968="",IF(F3968="OH",VLOOKUP(D3968,[1]UPAH!$B$3:$G$32,7,0),VLOOKUP(D3968,[1]BAHAN!$A$2:$D$3,4,0)),0),0)</f>
        <v>0</v>
      </c>
      <c r="I3968" s="126">
        <f>SUM(I3955:I3967)/2</f>
        <v>50355.729999999996</v>
      </c>
    </row>
    <row r="3969" spans="2:10" ht="15.95" customHeight="1" thickBot="1" x14ac:dyDescent="0.3">
      <c r="C3969" s="147" t="s">
        <v>392</v>
      </c>
      <c r="D3969" s="148" t="s">
        <v>393</v>
      </c>
      <c r="E3969" s="149"/>
      <c r="F3969" s="149"/>
      <c r="G3969" s="164">
        <v>0.1</v>
      </c>
      <c r="H3969" s="151"/>
      <c r="I3969" s="146">
        <f>G3969*I3968</f>
        <v>5035.5730000000003</v>
      </c>
    </row>
    <row r="3970" spans="2:10" ht="15.95" customHeight="1" thickBot="1" x14ac:dyDescent="0.3">
      <c r="C3970" s="111" t="s">
        <v>394</v>
      </c>
      <c r="D3970" s="112" t="s">
        <v>395</v>
      </c>
      <c r="E3970" s="134"/>
      <c r="F3970" s="134"/>
      <c r="G3970" s="156"/>
      <c r="H3970" s="136">
        <f>IF(AND(D3970&lt;&gt;"",F3970&lt;&gt;""),IF(C3970="",IF(F3970="OH",VLOOKUP(D3970,[1]UPAH!$B$3:$G$32,7,0),VLOOKUP(D3970,[1]BAHAN!$A$2:$D$3,4,0)),0),0)</f>
        <v>0</v>
      </c>
      <c r="I3970" s="137">
        <f>ROUNDDOWN(I3968+I3969,0)</f>
        <v>55391</v>
      </c>
    </row>
    <row r="3971" spans="2:10" ht="15.95" customHeight="1" x14ac:dyDescent="0.25">
      <c r="C3971" s="109"/>
      <c r="D3971" s="109"/>
      <c r="G3971" s="157"/>
    </row>
    <row r="3972" spans="2:10" ht="15.95" customHeight="1" thickBot="1" x14ac:dyDescent="0.3">
      <c r="B3972" s="109" t="s">
        <v>1009</v>
      </c>
      <c r="C3972" s="104" t="s">
        <v>1010</v>
      </c>
      <c r="G3972" s="157"/>
      <c r="J3972" s="110">
        <f>I3990</f>
        <v>56199</v>
      </c>
    </row>
    <row r="3973" spans="2:10" ht="15.95" customHeight="1" thickBot="1" x14ac:dyDescent="0.3">
      <c r="C3973" s="111" t="s">
        <v>328</v>
      </c>
      <c r="D3973" s="112" t="s">
        <v>359</v>
      </c>
      <c r="E3973" s="113" t="s">
        <v>360</v>
      </c>
      <c r="F3973" s="113" t="s">
        <v>330</v>
      </c>
      <c r="G3973" s="114" t="s">
        <v>361</v>
      </c>
      <c r="H3973" s="112" t="s">
        <v>362</v>
      </c>
      <c r="I3973" s="115" t="s">
        <v>363</v>
      </c>
    </row>
    <row r="3974" spans="2:10" ht="15.95" customHeight="1" x14ac:dyDescent="0.25">
      <c r="C3974" s="116" t="s">
        <v>364</v>
      </c>
      <c r="D3974" s="117" t="s">
        <v>365</v>
      </c>
      <c r="E3974" s="118"/>
      <c r="F3974" s="118"/>
      <c r="G3974" s="165"/>
      <c r="H3974" s="144"/>
      <c r="I3974" s="126"/>
    </row>
    <row r="3975" spans="2:10" ht="15.95" customHeight="1" x14ac:dyDescent="0.25">
      <c r="C3975" s="122"/>
      <c r="D3975" s="117" t="s">
        <v>366</v>
      </c>
      <c r="E3975" s="123" t="s">
        <v>367</v>
      </c>
      <c r="F3975" s="123" t="s">
        <v>368</v>
      </c>
      <c r="G3975" s="124">
        <v>0.09</v>
      </c>
      <c r="H3975" s="125">
        <f>VLOOKUP(D3975,Upah,8,FALSE)</f>
        <v>125000</v>
      </c>
      <c r="I3975" s="126">
        <f>G3975*H3975</f>
        <v>11250</v>
      </c>
    </row>
    <row r="3976" spans="2:10" ht="15.95" customHeight="1" x14ac:dyDescent="0.25">
      <c r="C3976" s="122"/>
      <c r="D3976" s="117" t="s">
        <v>505</v>
      </c>
      <c r="E3976" s="123" t="s">
        <v>414</v>
      </c>
      <c r="F3976" s="123" t="s">
        <v>368</v>
      </c>
      <c r="G3976" s="124">
        <v>0.09</v>
      </c>
      <c r="H3976" s="125">
        <f>VLOOKUP(D3976,Upah,8,FALSE)</f>
        <v>150000</v>
      </c>
      <c r="I3976" s="126">
        <f>G3976*H3976</f>
        <v>13500</v>
      </c>
    </row>
    <row r="3977" spans="2:10" ht="15.95" customHeight="1" x14ac:dyDescent="0.25">
      <c r="C3977" s="122"/>
      <c r="D3977" s="117" t="s">
        <v>429</v>
      </c>
      <c r="E3977" s="123" t="s">
        <v>372</v>
      </c>
      <c r="F3977" s="123" t="s">
        <v>368</v>
      </c>
      <c r="G3977" s="124">
        <v>8.9999999999999993E-3</v>
      </c>
      <c r="H3977" s="125">
        <f>VLOOKUP(D3977,Upah,8,FALSE)</f>
        <v>165000</v>
      </c>
      <c r="I3977" s="126">
        <f>G3977*H3977</f>
        <v>1485</v>
      </c>
    </row>
    <row r="3978" spans="2:10" ht="15.95" customHeight="1" thickBot="1" x14ac:dyDescent="0.3">
      <c r="C3978" s="122"/>
      <c r="D3978" s="117" t="s">
        <v>373</v>
      </c>
      <c r="E3978" s="123" t="s">
        <v>374</v>
      </c>
      <c r="F3978" s="123" t="s">
        <v>368</v>
      </c>
      <c r="G3978" s="124">
        <v>5.0000000000000001E-3</v>
      </c>
      <c r="H3978" s="125">
        <f>VLOOKUP(D3978,Upah,8,FALSE)</f>
        <v>170000</v>
      </c>
      <c r="I3978" s="126">
        <f>G3978*H3978</f>
        <v>850</v>
      </c>
    </row>
    <row r="3979" spans="2:10" ht="15.95" customHeight="1" thickBot="1" x14ac:dyDescent="0.3">
      <c r="C3979" s="132"/>
      <c r="D3979" s="133"/>
      <c r="E3979" s="134"/>
      <c r="F3979" s="134"/>
      <c r="G3979" s="135" t="s">
        <v>375</v>
      </c>
      <c r="H3979" s="136"/>
      <c r="I3979" s="137">
        <f>SUM(I3975:I3978)</f>
        <v>27085</v>
      </c>
    </row>
    <row r="3980" spans="2:10" ht="15.95" customHeight="1" x14ac:dyDescent="0.25">
      <c r="C3980" s="116" t="s">
        <v>376</v>
      </c>
      <c r="D3980" s="117" t="s">
        <v>377</v>
      </c>
      <c r="E3980" s="118"/>
      <c r="F3980" s="118"/>
      <c r="G3980" s="165"/>
      <c r="H3980" s="144"/>
      <c r="I3980" s="126"/>
    </row>
    <row r="3981" spans="2:10" ht="15.95" customHeight="1" x14ac:dyDescent="0.25">
      <c r="C3981" s="122"/>
      <c r="D3981" s="117" t="s">
        <v>1011</v>
      </c>
      <c r="E3981" s="118"/>
      <c r="F3981" s="123" t="s">
        <v>418</v>
      </c>
      <c r="G3981" s="124">
        <v>2.65</v>
      </c>
      <c r="H3981" s="144">
        <f>VLOOKUP(D3981,Bahan,6,FALSE)</f>
        <v>7870</v>
      </c>
      <c r="I3981" s="126">
        <f>G3981*H3981</f>
        <v>20855.5</v>
      </c>
    </row>
    <row r="3982" spans="2:10" ht="15.95" customHeight="1" x14ac:dyDescent="0.25">
      <c r="C3982" s="122"/>
      <c r="D3982" s="117" t="s">
        <v>380</v>
      </c>
      <c r="E3982" s="118"/>
      <c r="F3982" s="123" t="s">
        <v>133</v>
      </c>
      <c r="G3982" s="124">
        <v>1.1399999999999999</v>
      </c>
      <c r="H3982" s="144">
        <f>VLOOKUP(D3982,Bahan,6,FALSE)</f>
        <v>1880</v>
      </c>
      <c r="I3982" s="126">
        <f>G3982*H3982</f>
        <v>2143.1999999999998</v>
      </c>
    </row>
    <row r="3983" spans="2:10" ht="15.95" customHeight="1" x14ac:dyDescent="0.25">
      <c r="C3983" s="122"/>
      <c r="D3983" s="117" t="s">
        <v>960</v>
      </c>
      <c r="E3983" s="118"/>
      <c r="F3983" s="123" t="s">
        <v>159</v>
      </c>
      <c r="G3983" s="124">
        <v>0.1</v>
      </c>
      <c r="H3983" s="144">
        <f>VLOOKUP(D3983,Bahan,6,FALSE)</f>
        <v>2460</v>
      </c>
      <c r="I3983" s="126">
        <f>G3983*H3983</f>
        <v>246</v>
      </c>
    </row>
    <row r="3984" spans="2:10" ht="15.95" customHeight="1" thickBot="1" x14ac:dyDescent="0.3">
      <c r="C3984" s="122"/>
      <c r="D3984" s="117" t="s">
        <v>493</v>
      </c>
      <c r="E3984" s="118"/>
      <c r="F3984" s="123" t="s">
        <v>489</v>
      </c>
      <c r="G3984" s="124">
        <v>3.0000000000000001E-3</v>
      </c>
      <c r="H3984" s="144">
        <f>VLOOKUP(D3984,Bahan,6,FALSE)</f>
        <v>253510</v>
      </c>
      <c r="I3984" s="126">
        <f>G3984*H3984</f>
        <v>760.53</v>
      </c>
    </row>
    <row r="3985" spans="2:10" ht="15.95" customHeight="1" thickBot="1" x14ac:dyDescent="0.3">
      <c r="C3985" s="132"/>
      <c r="D3985" s="133"/>
      <c r="E3985" s="134"/>
      <c r="F3985" s="134"/>
      <c r="G3985" s="135" t="s">
        <v>386</v>
      </c>
      <c r="H3985" s="136"/>
      <c r="I3985" s="137">
        <f>SUM(I3981:I3984)</f>
        <v>24005.23</v>
      </c>
    </row>
    <row r="3986" spans="2:10" ht="15.95" customHeight="1" thickBot="1" x14ac:dyDescent="0.3">
      <c r="C3986" s="116" t="s">
        <v>387</v>
      </c>
      <c r="D3986" s="117" t="s">
        <v>388</v>
      </c>
      <c r="E3986" s="118"/>
      <c r="F3986" s="118"/>
      <c r="G3986" s="165"/>
      <c r="H3986" s="144">
        <f>IF(AND(D3986&lt;&gt;"",F3986&lt;&gt;""),IF(C3986="",IF(F3986="OH",VLOOKUP(D3986,[1]UPAH!$B$3:$G$32,7,0),VLOOKUP(D3986,[1]BAHAN!$A$2:$D$3,4,0)),0),0)</f>
        <v>0</v>
      </c>
      <c r="I3986" s="126">
        <f>G3986*H3986</f>
        <v>0</v>
      </c>
    </row>
    <row r="3987" spans="2:10" ht="15.95" customHeight="1" thickBot="1" x14ac:dyDescent="0.3">
      <c r="C3987" s="132"/>
      <c r="D3987" s="133"/>
      <c r="E3987" s="134"/>
      <c r="F3987" s="134"/>
      <c r="G3987" s="135" t="s">
        <v>389</v>
      </c>
      <c r="H3987" s="136"/>
      <c r="I3987" s="137">
        <f>I3986</f>
        <v>0</v>
      </c>
    </row>
    <row r="3988" spans="2:10" ht="15.95" customHeight="1" x14ac:dyDescent="0.25">
      <c r="C3988" s="158" t="s">
        <v>390</v>
      </c>
      <c r="D3988" s="159" t="s">
        <v>391</v>
      </c>
      <c r="E3988" s="160"/>
      <c r="F3988" s="160"/>
      <c r="G3988" s="161"/>
      <c r="H3988" s="162">
        <f>IF(AND(D3988&lt;&gt;"",F3988&lt;&gt;""),IF(C3988="",IF(F3988="OH",VLOOKUP(D3988,[1]UPAH!$B$3:$G$32,7,0),VLOOKUP(D3988,[1]BAHAN!$A$2:$D$3,4,0)),0),0)</f>
        <v>0</v>
      </c>
      <c r="I3988" s="126">
        <f>SUM(I3975:I3987)/2</f>
        <v>51090.229999999996</v>
      </c>
    </row>
    <row r="3989" spans="2:10" ht="15.95" customHeight="1" thickBot="1" x14ac:dyDescent="0.3">
      <c r="C3989" s="147" t="s">
        <v>392</v>
      </c>
      <c r="D3989" s="148" t="s">
        <v>393</v>
      </c>
      <c r="E3989" s="149"/>
      <c r="F3989" s="149"/>
      <c r="G3989" s="164">
        <v>0.1</v>
      </c>
      <c r="H3989" s="151"/>
      <c r="I3989" s="146">
        <f>G3989*I3988</f>
        <v>5109.0230000000001</v>
      </c>
    </row>
    <row r="3990" spans="2:10" ht="15.95" customHeight="1" thickBot="1" x14ac:dyDescent="0.3">
      <c r="C3990" s="111" t="s">
        <v>394</v>
      </c>
      <c r="D3990" s="112" t="s">
        <v>395</v>
      </c>
      <c r="E3990" s="134"/>
      <c r="F3990" s="134"/>
      <c r="G3990" s="156"/>
      <c r="H3990" s="136">
        <f>IF(AND(D3990&lt;&gt;"",F3990&lt;&gt;""),IF(C3990="",IF(F3990="OH",VLOOKUP(D3990,[1]UPAH!$B$3:$G$32,7,0),VLOOKUP(D3990,[1]BAHAN!$A$2:$D$3,4,0)),0),0)</f>
        <v>0</v>
      </c>
      <c r="I3990" s="137">
        <f>ROUNDDOWN(I3988+I3989,0)</f>
        <v>56199</v>
      </c>
    </row>
    <row r="3991" spans="2:10" ht="15.95" customHeight="1" x14ac:dyDescent="0.25">
      <c r="C3991" s="109"/>
      <c r="D3991" s="109"/>
      <c r="G3991" s="157"/>
    </row>
    <row r="3992" spans="2:10" ht="15.95" customHeight="1" thickBot="1" x14ac:dyDescent="0.3">
      <c r="B3992" s="109" t="s">
        <v>1012</v>
      </c>
      <c r="C3992" s="104" t="s">
        <v>1013</v>
      </c>
      <c r="G3992" s="157"/>
      <c r="J3992" s="110">
        <f>I4010</f>
        <v>56362</v>
      </c>
    </row>
    <row r="3993" spans="2:10" ht="15.95" customHeight="1" thickBot="1" x14ac:dyDescent="0.3">
      <c r="C3993" s="111" t="s">
        <v>328</v>
      </c>
      <c r="D3993" s="112" t="s">
        <v>359</v>
      </c>
      <c r="E3993" s="113" t="s">
        <v>360</v>
      </c>
      <c r="F3993" s="113" t="s">
        <v>330</v>
      </c>
      <c r="G3993" s="114" t="s">
        <v>361</v>
      </c>
      <c r="H3993" s="112" t="s">
        <v>362</v>
      </c>
      <c r="I3993" s="115" t="s">
        <v>363</v>
      </c>
    </row>
    <row r="3994" spans="2:10" ht="15.95" customHeight="1" x14ac:dyDescent="0.25">
      <c r="C3994" s="116" t="s">
        <v>364</v>
      </c>
      <c r="D3994" s="117" t="s">
        <v>365</v>
      </c>
      <c r="E3994" s="118"/>
      <c r="F3994" s="118"/>
      <c r="G3994" s="165"/>
      <c r="H3994" s="144"/>
      <c r="I3994" s="126"/>
    </row>
    <row r="3995" spans="2:10" ht="15.95" customHeight="1" x14ac:dyDescent="0.25">
      <c r="C3995" s="122"/>
      <c r="D3995" s="117" t="s">
        <v>366</v>
      </c>
      <c r="E3995" s="123" t="s">
        <v>367</v>
      </c>
      <c r="F3995" s="123" t="s">
        <v>368</v>
      </c>
      <c r="G3995" s="124">
        <v>0.09</v>
      </c>
      <c r="H3995" s="125">
        <f>VLOOKUP(D3995,Upah,8,FALSE)</f>
        <v>125000</v>
      </c>
      <c r="I3995" s="126">
        <f>G3995*H3995</f>
        <v>11250</v>
      </c>
    </row>
    <row r="3996" spans="2:10" ht="15.95" customHeight="1" x14ac:dyDescent="0.25">
      <c r="C3996" s="122"/>
      <c r="D3996" s="117" t="s">
        <v>505</v>
      </c>
      <c r="E3996" s="123" t="s">
        <v>372</v>
      </c>
      <c r="F3996" s="123" t="s">
        <v>368</v>
      </c>
      <c r="G3996" s="124">
        <v>0.09</v>
      </c>
      <c r="H3996" s="125">
        <f>VLOOKUP(D3996,Upah,8,FALSE)</f>
        <v>150000</v>
      </c>
      <c r="I3996" s="126">
        <f>G3996*H3996</f>
        <v>13500</v>
      </c>
    </row>
    <row r="3997" spans="2:10" ht="15.95" customHeight="1" x14ac:dyDescent="0.25">
      <c r="C3997" s="122"/>
      <c r="D3997" s="117" t="s">
        <v>429</v>
      </c>
      <c r="E3997" s="123" t="s">
        <v>372</v>
      </c>
      <c r="F3997" s="123" t="s">
        <v>368</v>
      </c>
      <c r="G3997" s="124">
        <v>8.9999999999999993E-3</v>
      </c>
      <c r="H3997" s="125">
        <f>VLOOKUP(D3997,Upah,8,FALSE)</f>
        <v>165000</v>
      </c>
      <c r="I3997" s="126">
        <f>G3997*H3997</f>
        <v>1485</v>
      </c>
    </row>
    <row r="3998" spans="2:10" ht="15.95" customHeight="1" thickBot="1" x14ac:dyDescent="0.3">
      <c r="C3998" s="122"/>
      <c r="D3998" s="117" t="s">
        <v>373</v>
      </c>
      <c r="E3998" s="123" t="s">
        <v>374</v>
      </c>
      <c r="F3998" s="123" t="s">
        <v>368</v>
      </c>
      <c r="G3998" s="124">
        <v>5.0000000000000001E-3</v>
      </c>
      <c r="H3998" s="125">
        <f>VLOOKUP(D3998,Upah,8,FALSE)</f>
        <v>170000</v>
      </c>
      <c r="I3998" s="126">
        <f>G3998*H3998</f>
        <v>850</v>
      </c>
    </row>
    <row r="3999" spans="2:10" ht="15.95" customHeight="1" thickBot="1" x14ac:dyDescent="0.3">
      <c r="C3999" s="132"/>
      <c r="D3999" s="133"/>
      <c r="E3999" s="134"/>
      <c r="F3999" s="134"/>
      <c r="G3999" s="135" t="s">
        <v>375</v>
      </c>
      <c r="H3999" s="136"/>
      <c r="I3999" s="137">
        <f>SUM(I3995:I3998)</f>
        <v>27085</v>
      </c>
    </row>
    <row r="4000" spans="2:10" ht="15.95" customHeight="1" x14ac:dyDescent="0.25">
      <c r="C4000" s="116" t="s">
        <v>376</v>
      </c>
      <c r="D4000" s="117" t="s">
        <v>377</v>
      </c>
      <c r="E4000" s="118"/>
      <c r="F4000" s="118"/>
      <c r="G4000" s="165"/>
      <c r="H4000" s="144"/>
      <c r="I4000" s="126"/>
    </row>
    <row r="4001" spans="2:10" ht="15.95" customHeight="1" x14ac:dyDescent="0.25">
      <c r="C4001" s="122"/>
      <c r="D4001" s="117" t="s">
        <v>1014</v>
      </c>
      <c r="E4001" s="118"/>
      <c r="F4001" s="123" t="s">
        <v>418</v>
      </c>
      <c r="G4001" s="124">
        <v>3.53</v>
      </c>
      <c r="H4001" s="144">
        <f>VLOOKUP(D4001,Bahan,6,FALSE)</f>
        <v>5950</v>
      </c>
      <c r="I4001" s="126">
        <f>G4001*H4001</f>
        <v>21003.5</v>
      </c>
    </row>
    <row r="4002" spans="2:10" ht="15.95" customHeight="1" x14ac:dyDescent="0.25">
      <c r="C4002" s="122"/>
      <c r="D4002" s="117" t="s">
        <v>380</v>
      </c>
      <c r="E4002" s="118"/>
      <c r="F4002" s="123" t="s">
        <v>133</v>
      </c>
      <c r="G4002" s="124">
        <v>1.1399999999999999</v>
      </c>
      <c r="H4002" s="144">
        <f>VLOOKUP(D4002,Bahan,6,FALSE)</f>
        <v>1880</v>
      </c>
      <c r="I4002" s="126">
        <f>G4002*H4002</f>
        <v>2143.1999999999998</v>
      </c>
    </row>
    <row r="4003" spans="2:10" ht="15.95" customHeight="1" x14ac:dyDescent="0.25">
      <c r="C4003" s="122"/>
      <c r="D4003" s="117" t="s">
        <v>960</v>
      </c>
      <c r="E4003" s="118"/>
      <c r="F4003" s="123" t="s">
        <v>159</v>
      </c>
      <c r="G4003" s="124">
        <v>0.1</v>
      </c>
      <c r="H4003" s="144">
        <f>VLOOKUP(D4003,Bahan,6,FALSE)</f>
        <v>2460</v>
      </c>
      <c r="I4003" s="126">
        <f>G4003*H4003</f>
        <v>246</v>
      </c>
    </row>
    <row r="4004" spans="2:10" ht="15.95" customHeight="1" thickBot="1" x14ac:dyDescent="0.3">
      <c r="C4004" s="122"/>
      <c r="D4004" s="117" t="s">
        <v>493</v>
      </c>
      <c r="E4004" s="118"/>
      <c r="F4004" s="123" t="s">
        <v>489</v>
      </c>
      <c r="G4004" s="124">
        <v>3.0000000000000001E-3</v>
      </c>
      <c r="H4004" s="144">
        <f>VLOOKUP(D4004,Bahan,6,FALSE)</f>
        <v>253510</v>
      </c>
      <c r="I4004" s="126">
        <f>G4004*H4004</f>
        <v>760.53</v>
      </c>
    </row>
    <row r="4005" spans="2:10" ht="15.95" customHeight="1" thickBot="1" x14ac:dyDescent="0.3">
      <c r="C4005" s="132"/>
      <c r="D4005" s="133"/>
      <c r="E4005" s="134"/>
      <c r="F4005" s="134"/>
      <c r="G4005" s="135" t="s">
        <v>386</v>
      </c>
      <c r="H4005" s="136"/>
      <c r="I4005" s="137">
        <f>SUM(I4001:I4004)</f>
        <v>24153.23</v>
      </c>
    </row>
    <row r="4006" spans="2:10" ht="15.95" customHeight="1" thickBot="1" x14ac:dyDescent="0.3">
      <c r="C4006" s="116" t="s">
        <v>387</v>
      </c>
      <c r="D4006" s="117" t="s">
        <v>388</v>
      </c>
      <c r="E4006" s="118"/>
      <c r="F4006" s="118"/>
      <c r="G4006" s="165"/>
      <c r="H4006" s="144">
        <f>IF(AND(D4006&lt;&gt;"",F4006&lt;&gt;""),IF(C4006="",IF(F4006="OH",VLOOKUP(D4006,[1]UPAH!$B$3:$G$32,7,0),VLOOKUP(D4006,[1]BAHAN!$A$2:$D$3,4,0)),0),0)</f>
        <v>0</v>
      </c>
      <c r="I4006" s="126">
        <f>G4006*H4006</f>
        <v>0</v>
      </c>
    </row>
    <row r="4007" spans="2:10" ht="15.95" customHeight="1" thickBot="1" x14ac:dyDescent="0.3">
      <c r="C4007" s="132"/>
      <c r="D4007" s="133"/>
      <c r="E4007" s="134"/>
      <c r="F4007" s="134"/>
      <c r="G4007" s="135" t="s">
        <v>389</v>
      </c>
      <c r="H4007" s="136"/>
      <c r="I4007" s="137">
        <f>I4006</f>
        <v>0</v>
      </c>
    </row>
    <row r="4008" spans="2:10" ht="15.95" customHeight="1" x14ac:dyDescent="0.25">
      <c r="C4008" s="158" t="s">
        <v>390</v>
      </c>
      <c r="D4008" s="159" t="s">
        <v>391</v>
      </c>
      <c r="E4008" s="160"/>
      <c r="F4008" s="160"/>
      <c r="G4008" s="161"/>
      <c r="H4008" s="162">
        <f>IF(AND(D4008&lt;&gt;"",F4008&lt;&gt;""),IF(C4008="",IF(F4008="OH",VLOOKUP(D4008,[1]UPAH!$B$3:$G$32,7,0),VLOOKUP(D4008,[1]BAHAN!$A$2:$D$3,4,0)),0),0)</f>
        <v>0</v>
      </c>
      <c r="I4008" s="126">
        <f>SUM(I3995:I4007)/2</f>
        <v>51238.229999999996</v>
      </c>
    </row>
    <row r="4009" spans="2:10" ht="15.95" customHeight="1" thickBot="1" x14ac:dyDescent="0.3">
      <c r="C4009" s="147" t="s">
        <v>392</v>
      </c>
      <c r="D4009" s="148" t="s">
        <v>393</v>
      </c>
      <c r="E4009" s="149"/>
      <c r="F4009" s="149"/>
      <c r="G4009" s="164">
        <v>0.1</v>
      </c>
      <c r="H4009" s="151"/>
      <c r="I4009" s="146">
        <f>G4009*I4008</f>
        <v>5123.8230000000003</v>
      </c>
    </row>
    <row r="4010" spans="2:10" ht="15.95" customHeight="1" thickBot="1" x14ac:dyDescent="0.3">
      <c r="C4010" s="111" t="s">
        <v>394</v>
      </c>
      <c r="D4010" s="112" t="s">
        <v>395</v>
      </c>
      <c r="E4010" s="134"/>
      <c r="F4010" s="134"/>
      <c r="G4010" s="156"/>
      <c r="H4010" s="136">
        <f>IF(AND(D4010&lt;&gt;"",F4010&lt;&gt;""),IF(C4010="",IF(F4010="OH",VLOOKUP(D4010,[1]UPAH!$B$3:$G$32,7,0),VLOOKUP(D4010,[1]BAHAN!$A$2:$D$3,4,0)),0),0)</f>
        <v>0</v>
      </c>
      <c r="I4010" s="137">
        <f>ROUNDDOWN(I4008+I4009,0)</f>
        <v>56362</v>
      </c>
    </row>
    <row r="4011" spans="2:10" ht="15.95" customHeight="1" x14ac:dyDescent="0.25">
      <c r="C4011" s="109"/>
      <c r="D4011" s="109"/>
      <c r="G4011" s="157"/>
    </row>
    <row r="4012" spans="2:10" ht="15.95" customHeight="1" thickBot="1" x14ac:dyDescent="0.3">
      <c r="B4012" s="109" t="s">
        <v>1015</v>
      </c>
      <c r="C4012" s="104" t="s">
        <v>1016</v>
      </c>
      <c r="G4012" s="157"/>
      <c r="J4012" s="110">
        <f>I4030</f>
        <v>57744</v>
      </c>
    </row>
    <row r="4013" spans="2:10" ht="15.95" customHeight="1" thickBot="1" x14ac:dyDescent="0.3">
      <c r="C4013" s="111" t="s">
        <v>328</v>
      </c>
      <c r="D4013" s="112" t="s">
        <v>359</v>
      </c>
      <c r="E4013" s="113" t="s">
        <v>360</v>
      </c>
      <c r="F4013" s="113" t="s">
        <v>330</v>
      </c>
      <c r="G4013" s="114" t="s">
        <v>361</v>
      </c>
      <c r="H4013" s="112" t="s">
        <v>362</v>
      </c>
      <c r="I4013" s="115" t="s">
        <v>363</v>
      </c>
    </row>
    <row r="4014" spans="2:10" ht="15.95" customHeight="1" x14ac:dyDescent="0.25">
      <c r="C4014" s="116" t="s">
        <v>364</v>
      </c>
      <c r="D4014" s="117" t="s">
        <v>365</v>
      </c>
      <c r="E4014" s="118"/>
      <c r="F4014" s="118"/>
      <c r="G4014" s="165"/>
      <c r="H4014" s="144"/>
      <c r="I4014" s="126"/>
    </row>
    <row r="4015" spans="2:10" ht="15.95" customHeight="1" x14ac:dyDescent="0.25">
      <c r="C4015" s="122"/>
      <c r="D4015" s="117" t="s">
        <v>366</v>
      </c>
      <c r="E4015" s="123" t="s">
        <v>367</v>
      </c>
      <c r="F4015" s="123" t="s">
        <v>368</v>
      </c>
      <c r="G4015" s="124">
        <v>0.09</v>
      </c>
      <c r="H4015" s="125">
        <f>VLOOKUP(D4015,Upah,8,FALSE)</f>
        <v>125000</v>
      </c>
      <c r="I4015" s="126">
        <f>G4015*H4015</f>
        <v>11250</v>
      </c>
    </row>
    <row r="4016" spans="2:10" ht="15.95" customHeight="1" x14ac:dyDescent="0.25">
      <c r="C4016" s="122"/>
      <c r="D4016" s="117" t="s">
        <v>505</v>
      </c>
      <c r="E4016" s="123" t="s">
        <v>414</v>
      </c>
      <c r="F4016" s="123" t="s">
        <v>368</v>
      </c>
      <c r="G4016" s="124">
        <v>0.09</v>
      </c>
      <c r="H4016" s="125">
        <f>VLOOKUP(D4016,Upah,8,FALSE)</f>
        <v>150000</v>
      </c>
      <c r="I4016" s="126">
        <f>G4016*H4016</f>
        <v>13500</v>
      </c>
    </row>
    <row r="4017" spans="2:10" ht="15.95" customHeight="1" x14ac:dyDescent="0.25">
      <c r="C4017" s="122"/>
      <c r="D4017" s="117" t="s">
        <v>429</v>
      </c>
      <c r="E4017" s="123" t="s">
        <v>372</v>
      </c>
      <c r="F4017" s="123" t="s">
        <v>368</v>
      </c>
      <c r="G4017" s="124">
        <v>8.9999999999999993E-3</v>
      </c>
      <c r="H4017" s="125">
        <f>VLOOKUP(D4017,Upah,8,FALSE)</f>
        <v>165000</v>
      </c>
      <c r="I4017" s="126">
        <f>G4017*H4017</f>
        <v>1485</v>
      </c>
    </row>
    <row r="4018" spans="2:10" ht="15.95" customHeight="1" thickBot="1" x14ac:dyDescent="0.3">
      <c r="C4018" s="122"/>
      <c r="D4018" s="117" t="s">
        <v>373</v>
      </c>
      <c r="E4018" s="123" t="s">
        <v>374</v>
      </c>
      <c r="F4018" s="123" t="s">
        <v>368</v>
      </c>
      <c r="G4018" s="124">
        <v>5.0000000000000001E-3</v>
      </c>
      <c r="H4018" s="125">
        <f>VLOOKUP(D4018,Upah,8,FALSE)</f>
        <v>170000</v>
      </c>
      <c r="I4018" s="126">
        <f>G4018*H4018</f>
        <v>850</v>
      </c>
    </row>
    <row r="4019" spans="2:10" ht="15.95" customHeight="1" thickBot="1" x14ac:dyDescent="0.3">
      <c r="C4019" s="132"/>
      <c r="D4019" s="133"/>
      <c r="E4019" s="134"/>
      <c r="F4019" s="134"/>
      <c r="G4019" s="135" t="s">
        <v>375</v>
      </c>
      <c r="H4019" s="136"/>
      <c r="I4019" s="137">
        <f>SUM(I4015:I4018)</f>
        <v>27085</v>
      </c>
    </row>
    <row r="4020" spans="2:10" ht="15.95" customHeight="1" x14ac:dyDescent="0.25">
      <c r="C4020" s="116" t="s">
        <v>376</v>
      </c>
      <c r="D4020" s="117" t="s">
        <v>377</v>
      </c>
      <c r="E4020" s="118"/>
      <c r="F4020" s="118"/>
      <c r="G4020" s="165"/>
      <c r="H4020" s="144"/>
      <c r="I4020" s="126"/>
    </row>
    <row r="4021" spans="2:10" ht="15.95" customHeight="1" x14ac:dyDescent="0.25">
      <c r="C4021" s="122"/>
      <c r="D4021" s="117" t="s">
        <v>1017</v>
      </c>
      <c r="E4021" s="118"/>
      <c r="F4021" s="123" t="s">
        <v>418</v>
      </c>
      <c r="G4021" s="124">
        <v>2.65</v>
      </c>
      <c r="H4021" s="144">
        <f>VLOOKUP(D4021,Bahan,6,FALSE)</f>
        <v>8400</v>
      </c>
      <c r="I4021" s="126">
        <f>G4021*H4021</f>
        <v>22260</v>
      </c>
    </row>
    <row r="4022" spans="2:10" ht="15.95" customHeight="1" x14ac:dyDescent="0.25">
      <c r="C4022" s="122"/>
      <c r="D4022" s="117" t="s">
        <v>380</v>
      </c>
      <c r="E4022" s="118"/>
      <c r="F4022" s="123" t="s">
        <v>133</v>
      </c>
      <c r="G4022" s="124">
        <v>1.1399999999999999</v>
      </c>
      <c r="H4022" s="144">
        <f>VLOOKUP(D4022,Bahan,6,FALSE)</f>
        <v>1880</v>
      </c>
      <c r="I4022" s="126">
        <f>G4022*H4022</f>
        <v>2143.1999999999998</v>
      </c>
    </row>
    <row r="4023" spans="2:10" ht="15.95" customHeight="1" x14ac:dyDescent="0.25">
      <c r="C4023" s="122"/>
      <c r="D4023" s="117" t="s">
        <v>960</v>
      </c>
      <c r="E4023" s="118"/>
      <c r="F4023" s="123" t="s">
        <v>159</v>
      </c>
      <c r="G4023" s="124">
        <v>0.1</v>
      </c>
      <c r="H4023" s="144">
        <f>VLOOKUP(D4023,Bahan,6,FALSE)</f>
        <v>2460</v>
      </c>
      <c r="I4023" s="126">
        <f>G4023*H4023</f>
        <v>246</v>
      </c>
    </row>
    <row r="4024" spans="2:10" ht="15.95" customHeight="1" thickBot="1" x14ac:dyDescent="0.3">
      <c r="C4024" s="122"/>
      <c r="D4024" s="117" t="s">
        <v>493</v>
      </c>
      <c r="E4024" s="118"/>
      <c r="F4024" s="123" t="s">
        <v>489</v>
      </c>
      <c r="G4024" s="124">
        <v>3.0000000000000001E-3</v>
      </c>
      <c r="H4024" s="144">
        <f>VLOOKUP(D4024,Bahan,6,FALSE)</f>
        <v>253510</v>
      </c>
      <c r="I4024" s="126">
        <f>G4024*H4024</f>
        <v>760.53</v>
      </c>
    </row>
    <row r="4025" spans="2:10" ht="15.95" customHeight="1" thickBot="1" x14ac:dyDescent="0.3">
      <c r="C4025" s="132"/>
      <c r="D4025" s="133"/>
      <c r="E4025" s="134"/>
      <c r="F4025" s="134"/>
      <c r="G4025" s="135" t="s">
        <v>386</v>
      </c>
      <c r="H4025" s="136"/>
      <c r="I4025" s="137">
        <f>SUM(I4021:I4024)</f>
        <v>25409.73</v>
      </c>
    </row>
    <row r="4026" spans="2:10" ht="15.95" customHeight="1" thickBot="1" x14ac:dyDescent="0.3">
      <c r="C4026" s="116" t="s">
        <v>387</v>
      </c>
      <c r="D4026" s="117" t="s">
        <v>388</v>
      </c>
      <c r="E4026" s="118"/>
      <c r="F4026" s="118"/>
      <c r="G4026" s="165"/>
      <c r="H4026" s="144">
        <f>IF(AND(D4026&lt;&gt;"",F4026&lt;&gt;""),IF(C4026="",IF(F4026="OH",VLOOKUP(D4026,[1]UPAH!$B$3:$G$32,7,0),VLOOKUP(D4026,[1]BAHAN!$A$2:$D$3,4,0)),0),0)</f>
        <v>0</v>
      </c>
      <c r="I4026" s="126">
        <f>G4026*H4026</f>
        <v>0</v>
      </c>
    </row>
    <row r="4027" spans="2:10" ht="15.95" customHeight="1" thickBot="1" x14ac:dyDescent="0.3">
      <c r="C4027" s="132"/>
      <c r="D4027" s="133"/>
      <c r="E4027" s="134"/>
      <c r="F4027" s="134"/>
      <c r="G4027" s="135" t="s">
        <v>389</v>
      </c>
      <c r="H4027" s="136"/>
      <c r="I4027" s="137">
        <f>I4026</f>
        <v>0</v>
      </c>
    </row>
    <row r="4028" spans="2:10" ht="15.95" customHeight="1" x14ac:dyDescent="0.25">
      <c r="C4028" s="158" t="s">
        <v>390</v>
      </c>
      <c r="D4028" s="159" t="s">
        <v>391</v>
      </c>
      <c r="E4028" s="160"/>
      <c r="F4028" s="160"/>
      <c r="G4028" s="161"/>
      <c r="H4028" s="162">
        <f>IF(AND(D4028&lt;&gt;"",F4028&lt;&gt;""),IF(C4028="",IF(F4028="OH",VLOOKUP(D4028,[1]UPAH!$B$3:$G$32,7,0),VLOOKUP(D4028,[1]BAHAN!$A$2:$D$3,4,0)),0),0)</f>
        <v>0</v>
      </c>
      <c r="I4028" s="126">
        <f>SUM(I4015:I4027)/2</f>
        <v>52494.729999999996</v>
      </c>
    </row>
    <row r="4029" spans="2:10" ht="15.95" customHeight="1" thickBot="1" x14ac:dyDescent="0.3">
      <c r="C4029" s="147" t="s">
        <v>392</v>
      </c>
      <c r="D4029" s="148" t="s">
        <v>393</v>
      </c>
      <c r="E4029" s="149"/>
      <c r="F4029" s="149"/>
      <c r="G4029" s="164">
        <v>0.1</v>
      </c>
      <c r="H4029" s="151"/>
      <c r="I4029" s="146">
        <f>G4029*I4028</f>
        <v>5249.473</v>
      </c>
    </row>
    <row r="4030" spans="2:10" ht="15.95" customHeight="1" thickBot="1" x14ac:dyDescent="0.3">
      <c r="C4030" s="111" t="s">
        <v>394</v>
      </c>
      <c r="D4030" s="112" t="s">
        <v>395</v>
      </c>
      <c r="E4030" s="134"/>
      <c r="F4030" s="134"/>
      <c r="G4030" s="156"/>
      <c r="H4030" s="136">
        <f>IF(AND(D4030&lt;&gt;"",F4030&lt;&gt;""),IF(C4030="",IF(F4030="OH",VLOOKUP(D4030,[1]UPAH!$B$3:$G$32,7,0),VLOOKUP(D4030,[1]BAHAN!$A$2:$D$3,4,0)),0),0)</f>
        <v>0</v>
      </c>
      <c r="I4030" s="137">
        <f>ROUNDDOWN(I4028+I4029,0)</f>
        <v>57744</v>
      </c>
    </row>
    <row r="4031" spans="2:10" ht="15.95" customHeight="1" x14ac:dyDescent="0.25">
      <c r="C4031" s="109"/>
      <c r="D4031" s="109"/>
      <c r="G4031" s="157"/>
    </row>
    <row r="4032" spans="2:10" ht="15.95" customHeight="1" thickBot="1" x14ac:dyDescent="0.3">
      <c r="B4032" s="109" t="s">
        <v>1018</v>
      </c>
      <c r="C4032" s="104" t="s">
        <v>1019</v>
      </c>
      <c r="G4032" s="157"/>
      <c r="J4032" s="110">
        <f>I4050</f>
        <v>85086</v>
      </c>
    </row>
    <row r="4033" spans="3:9" ht="15.95" customHeight="1" thickBot="1" x14ac:dyDescent="0.3">
      <c r="C4033" s="111" t="s">
        <v>328</v>
      </c>
      <c r="D4033" s="112" t="s">
        <v>359</v>
      </c>
      <c r="E4033" s="113" t="s">
        <v>360</v>
      </c>
      <c r="F4033" s="113" t="s">
        <v>330</v>
      </c>
      <c r="G4033" s="114" t="s">
        <v>361</v>
      </c>
      <c r="H4033" s="112" t="s">
        <v>362</v>
      </c>
      <c r="I4033" s="115" t="s">
        <v>363</v>
      </c>
    </row>
    <row r="4034" spans="3:9" ht="15.95" customHeight="1" x14ac:dyDescent="0.25">
      <c r="C4034" s="116" t="s">
        <v>364</v>
      </c>
      <c r="D4034" s="117" t="s">
        <v>365</v>
      </c>
      <c r="E4034" s="118"/>
      <c r="F4034" s="118"/>
      <c r="G4034" s="165"/>
      <c r="H4034" s="144"/>
      <c r="I4034" s="126"/>
    </row>
    <row r="4035" spans="3:9" ht="15.95" customHeight="1" x14ac:dyDescent="0.25">
      <c r="C4035" s="122"/>
      <c r="D4035" s="117" t="s">
        <v>366</v>
      </c>
      <c r="E4035" s="123" t="s">
        <v>367</v>
      </c>
      <c r="F4035" s="123" t="s">
        <v>368</v>
      </c>
      <c r="G4035" s="124">
        <v>0.09</v>
      </c>
      <c r="H4035" s="125">
        <f>VLOOKUP(D4035,Upah,8,FALSE)</f>
        <v>125000</v>
      </c>
      <c r="I4035" s="126">
        <f>G4035*H4035</f>
        <v>11250</v>
      </c>
    </row>
    <row r="4036" spans="3:9" ht="15.95" customHeight="1" x14ac:dyDescent="0.25">
      <c r="C4036" s="122"/>
      <c r="D4036" s="117" t="s">
        <v>505</v>
      </c>
      <c r="E4036" s="123" t="s">
        <v>414</v>
      </c>
      <c r="F4036" s="123" t="s">
        <v>368</v>
      </c>
      <c r="G4036" s="124">
        <v>0.09</v>
      </c>
      <c r="H4036" s="125">
        <f>VLOOKUP(D4036,Upah,8,FALSE)</f>
        <v>150000</v>
      </c>
      <c r="I4036" s="126">
        <f>G4036*H4036</f>
        <v>13500</v>
      </c>
    </row>
    <row r="4037" spans="3:9" ht="15.95" customHeight="1" x14ac:dyDescent="0.25">
      <c r="C4037" s="122"/>
      <c r="D4037" s="117" t="s">
        <v>429</v>
      </c>
      <c r="E4037" s="123" t="s">
        <v>372</v>
      </c>
      <c r="F4037" s="123" t="s">
        <v>368</v>
      </c>
      <c r="G4037" s="124">
        <v>8.9999999999999993E-3</v>
      </c>
      <c r="H4037" s="125">
        <f>VLOOKUP(D4037,Upah,8,FALSE)</f>
        <v>165000</v>
      </c>
      <c r="I4037" s="126">
        <f>G4037*H4037</f>
        <v>1485</v>
      </c>
    </row>
    <row r="4038" spans="3:9" ht="15.95" customHeight="1" thickBot="1" x14ac:dyDescent="0.3">
      <c r="C4038" s="122"/>
      <c r="D4038" s="117" t="s">
        <v>373</v>
      </c>
      <c r="E4038" s="123" t="s">
        <v>374</v>
      </c>
      <c r="F4038" s="123" t="s">
        <v>368</v>
      </c>
      <c r="G4038" s="124">
        <v>5.0000000000000001E-3</v>
      </c>
      <c r="H4038" s="125">
        <f>VLOOKUP(D4038,Upah,8,FALSE)</f>
        <v>170000</v>
      </c>
      <c r="I4038" s="126">
        <f>G4038*H4038</f>
        <v>850</v>
      </c>
    </row>
    <row r="4039" spans="3:9" ht="15.95" customHeight="1" thickBot="1" x14ac:dyDescent="0.3">
      <c r="C4039" s="132"/>
      <c r="D4039" s="133"/>
      <c r="E4039" s="134"/>
      <c r="F4039" s="134"/>
      <c r="G4039" s="135" t="s">
        <v>375</v>
      </c>
      <c r="H4039" s="136"/>
      <c r="I4039" s="137">
        <f>SUM(I4035:I4038)</f>
        <v>27085</v>
      </c>
    </row>
    <row r="4040" spans="3:9" ht="15.95" customHeight="1" x14ac:dyDescent="0.25">
      <c r="C4040" s="116" t="s">
        <v>376</v>
      </c>
      <c r="D4040" s="117" t="s">
        <v>377</v>
      </c>
      <c r="E4040" s="118"/>
      <c r="F4040" s="118"/>
      <c r="G4040" s="165"/>
      <c r="H4040" s="144"/>
      <c r="I4040" s="126"/>
    </row>
    <row r="4041" spans="3:9" ht="15.95" customHeight="1" x14ac:dyDescent="0.25">
      <c r="C4041" s="122"/>
      <c r="D4041" s="117" t="s">
        <v>1020</v>
      </c>
      <c r="E4041" s="118"/>
      <c r="F4041" s="123" t="s">
        <v>418</v>
      </c>
      <c r="G4041" s="124">
        <v>2.65</v>
      </c>
      <c r="H4041" s="144">
        <f>VLOOKUP(D4041,Bahan,6,FALSE)</f>
        <v>17780</v>
      </c>
      <c r="I4041" s="126">
        <f>G4041*H4041</f>
        <v>47117</v>
      </c>
    </row>
    <row r="4042" spans="3:9" ht="15.95" customHeight="1" x14ac:dyDescent="0.25">
      <c r="C4042" s="122"/>
      <c r="D4042" s="117" t="s">
        <v>380</v>
      </c>
      <c r="E4042" s="118"/>
      <c r="F4042" s="123" t="s">
        <v>133</v>
      </c>
      <c r="G4042" s="124">
        <v>1.1399999999999999</v>
      </c>
      <c r="H4042" s="144">
        <f>VLOOKUP(D4042,Bahan,6,FALSE)</f>
        <v>1880</v>
      </c>
      <c r="I4042" s="126">
        <f>G4042*H4042</f>
        <v>2143.1999999999998</v>
      </c>
    </row>
    <row r="4043" spans="3:9" ht="15.95" customHeight="1" x14ac:dyDescent="0.25">
      <c r="C4043" s="122"/>
      <c r="D4043" s="117" t="s">
        <v>960</v>
      </c>
      <c r="E4043" s="118"/>
      <c r="F4043" s="123" t="s">
        <v>159</v>
      </c>
      <c r="G4043" s="124">
        <v>0.1</v>
      </c>
      <c r="H4043" s="144">
        <f>VLOOKUP(D4043,Bahan,6,FALSE)</f>
        <v>2460</v>
      </c>
      <c r="I4043" s="126">
        <f>G4043*H4043</f>
        <v>246</v>
      </c>
    </row>
    <row r="4044" spans="3:9" ht="15.95" customHeight="1" thickBot="1" x14ac:dyDescent="0.3">
      <c r="C4044" s="122"/>
      <c r="D4044" s="117" t="s">
        <v>493</v>
      </c>
      <c r="E4044" s="118"/>
      <c r="F4044" s="123" t="s">
        <v>489</v>
      </c>
      <c r="G4044" s="124">
        <v>3.0000000000000001E-3</v>
      </c>
      <c r="H4044" s="144">
        <f>VLOOKUP(D4044,Bahan,6,FALSE)</f>
        <v>253510</v>
      </c>
      <c r="I4044" s="126">
        <f>G4044*H4044</f>
        <v>760.53</v>
      </c>
    </row>
    <row r="4045" spans="3:9" ht="15.95" customHeight="1" thickBot="1" x14ac:dyDescent="0.3">
      <c r="C4045" s="132"/>
      <c r="D4045" s="133"/>
      <c r="E4045" s="134"/>
      <c r="F4045" s="134"/>
      <c r="G4045" s="135" t="s">
        <v>386</v>
      </c>
      <c r="H4045" s="136"/>
      <c r="I4045" s="137">
        <f>SUM(I4041:I4044)</f>
        <v>50266.729999999996</v>
      </c>
    </row>
    <row r="4046" spans="3:9" ht="15.95" customHeight="1" thickBot="1" x14ac:dyDescent="0.3">
      <c r="C4046" s="116" t="s">
        <v>387</v>
      </c>
      <c r="D4046" s="117" t="s">
        <v>388</v>
      </c>
      <c r="E4046" s="118"/>
      <c r="F4046" s="118"/>
      <c r="G4046" s="165"/>
      <c r="H4046" s="144">
        <f>IF(AND(D4046&lt;&gt;"",F4046&lt;&gt;""),IF(C4046="",IF(F4046="OH",VLOOKUP(D4046,[1]UPAH!$B$3:$G$32,7,0),VLOOKUP(D4046,[1]BAHAN!$A$2:$D$3,4,0)),0),0)</f>
        <v>0</v>
      </c>
      <c r="I4046" s="126">
        <f>G4046*H4046</f>
        <v>0</v>
      </c>
    </row>
    <row r="4047" spans="3:9" ht="15.95" customHeight="1" thickBot="1" x14ac:dyDescent="0.3">
      <c r="C4047" s="132"/>
      <c r="D4047" s="133"/>
      <c r="E4047" s="134"/>
      <c r="F4047" s="134"/>
      <c r="G4047" s="135" t="s">
        <v>389</v>
      </c>
      <c r="H4047" s="136"/>
      <c r="I4047" s="137">
        <f>I4046</f>
        <v>0</v>
      </c>
    </row>
    <row r="4048" spans="3:9" ht="15.95" customHeight="1" x14ac:dyDescent="0.25">
      <c r="C4048" s="158" t="s">
        <v>390</v>
      </c>
      <c r="D4048" s="159" t="s">
        <v>391</v>
      </c>
      <c r="E4048" s="160"/>
      <c r="F4048" s="160"/>
      <c r="G4048" s="161"/>
      <c r="H4048" s="162">
        <f>IF(AND(D4048&lt;&gt;"",F4048&lt;&gt;""),IF(C4048="",IF(F4048="OH",VLOOKUP(D4048,[1]UPAH!$B$3:$G$32,7,0),VLOOKUP(D4048,[1]BAHAN!$A$2:$D$3,4,0)),0),0)</f>
        <v>0</v>
      </c>
      <c r="I4048" s="126">
        <f>SUM(I4035:I4047)/2</f>
        <v>77351.73</v>
      </c>
    </row>
    <row r="4049" spans="2:10" ht="15.95" customHeight="1" thickBot="1" x14ac:dyDescent="0.3">
      <c r="C4049" s="147" t="s">
        <v>392</v>
      </c>
      <c r="D4049" s="148" t="s">
        <v>393</v>
      </c>
      <c r="E4049" s="149"/>
      <c r="F4049" s="149"/>
      <c r="G4049" s="164">
        <v>0.1</v>
      </c>
      <c r="H4049" s="151"/>
      <c r="I4049" s="146">
        <f>G4049*I4048</f>
        <v>7735.1729999999998</v>
      </c>
    </row>
    <row r="4050" spans="2:10" ht="15.95" customHeight="1" thickBot="1" x14ac:dyDescent="0.3">
      <c r="C4050" s="111" t="s">
        <v>394</v>
      </c>
      <c r="D4050" s="112" t="s">
        <v>395</v>
      </c>
      <c r="E4050" s="134"/>
      <c r="F4050" s="134"/>
      <c r="G4050" s="156"/>
      <c r="H4050" s="136">
        <f>IF(AND(D4050&lt;&gt;"",F4050&lt;&gt;""),IF(C4050="",IF(F4050="OH",VLOOKUP(D4050,[1]UPAH!$B$3:$G$32,7,0),VLOOKUP(D4050,[1]BAHAN!$A$2:$D$3,4,0)),0),0)</f>
        <v>0</v>
      </c>
      <c r="I4050" s="137">
        <f>ROUNDDOWN(I4048+I4049,0)</f>
        <v>85086</v>
      </c>
    </row>
    <row r="4051" spans="2:10" ht="15.95" customHeight="1" x14ac:dyDescent="0.25">
      <c r="C4051" s="109"/>
      <c r="D4051" s="109"/>
      <c r="G4051" s="157"/>
    </row>
    <row r="4052" spans="2:10" ht="15.95" customHeight="1" thickBot="1" x14ac:dyDescent="0.3">
      <c r="B4052" s="109" t="s">
        <v>1021</v>
      </c>
      <c r="C4052" s="104" t="s">
        <v>1022</v>
      </c>
      <c r="G4052" s="157"/>
      <c r="J4052" s="110">
        <f>I4070</f>
        <v>94337</v>
      </c>
    </row>
    <row r="4053" spans="2:10" ht="15.95" customHeight="1" thickBot="1" x14ac:dyDescent="0.3">
      <c r="C4053" s="111" t="s">
        <v>328</v>
      </c>
      <c r="D4053" s="112" t="s">
        <v>359</v>
      </c>
      <c r="E4053" s="113" t="s">
        <v>360</v>
      </c>
      <c r="F4053" s="113" t="s">
        <v>330</v>
      </c>
      <c r="G4053" s="114" t="s">
        <v>361</v>
      </c>
      <c r="H4053" s="112" t="s">
        <v>362</v>
      </c>
      <c r="I4053" s="115" t="s">
        <v>363</v>
      </c>
    </row>
    <row r="4054" spans="2:10" ht="15.95" customHeight="1" x14ac:dyDescent="0.25">
      <c r="C4054" s="116" t="s">
        <v>364</v>
      </c>
      <c r="D4054" s="117" t="s">
        <v>365</v>
      </c>
      <c r="E4054" s="118"/>
      <c r="F4054" s="118"/>
      <c r="G4054" s="165"/>
      <c r="H4054" s="144"/>
      <c r="I4054" s="126"/>
    </row>
    <row r="4055" spans="2:10" ht="15.95" customHeight="1" x14ac:dyDescent="0.25">
      <c r="C4055" s="122"/>
      <c r="D4055" s="117" t="s">
        <v>366</v>
      </c>
      <c r="E4055" s="123" t="s">
        <v>367</v>
      </c>
      <c r="F4055" s="123" t="s">
        <v>368</v>
      </c>
      <c r="G4055" s="124">
        <v>0.09</v>
      </c>
      <c r="H4055" s="125">
        <f>VLOOKUP(D4055,Upah,8,FALSE)</f>
        <v>125000</v>
      </c>
      <c r="I4055" s="126">
        <f>G4055*H4055</f>
        <v>11250</v>
      </c>
    </row>
    <row r="4056" spans="2:10" ht="15.95" customHeight="1" x14ac:dyDescent="0.25">
      <c r="C4056" s="122"/>
      <c r="D4056" s="117" t="s">
        <v>505</v>
      </c>
      <c r="E4056" s="123" t="s">
        <v>414</v>
      </c>
      <c r="F4056" s="123" t="s">
        <v>368</v>
      </c>
      <c r="G4056" s="124">
        <v>0.09</v>
      </c>
      <c r="H4056" s="125">
        <f>VLOOKUP(D4056,Upah,8,FALSE)</f>
        <v>150000</v>
      </c>
      <c r="I4056" s="126">
        <f>G4056*H4056</f>
        <v>13500</v>
      </c>
    </row>
    <row r="4057" spans="2:10" ht="15.95" customHeight="1" x14ac:dyDescent="0.25">
      <c r="C4057" s="122"/>
      <c r="D4057" s="117" t="s">
        <v>429</v>
      </c>
      <c r="E4057" s="123" t="s">
        <v>372</v>
      </c>
      <c r="F4057" s="123" t="s">
        <v>368</v>
      </c>
      <c r="G4057" s="124">
        <v>8.9999999999999993E-3</v>
      </c>
      <c r="H4057" s="125">
        <f>VLOOKUP(D4057,Upah,8,FALSE)</f>
        <v>165000</v>
      </c>
      <c r="I4057" s="126">
        <f>G4057*H4057</f>
        <v>1485</v>
      </c>
    </row>
    <row r="4058" spans="2:10" ht="15.95" customHeight="1" thickBot="1" x14ac:dyDescent="0.3">
      <c r="C4058" s="122"/>
      <c r="D4058" s="117" t="s">
        <v>373</v>
      </c>
      <c r="E4058" s="123" t="s">
        <v>374</v>
      </c>
      <c r="F4058" s="123" t="s">
        <v>368</v>
      </c>
      <c r="G4058" s="124">
        <v>5.0000000000000001E-3</v>
      </c>
      <c r="H4058" s="125">
        <f>VLOOKUP(D4058,Upah,8,FALSE)</f>
        <v>170000</v>
      </c>
      <c r="I4058" s="126">
        <f>G4058*H4058</f>
        <v>850</v>
      </c>
    </row>
    <row r="4059" spans="2:10" ht="15.95" customHeight="1" thickBot="1" x14ac:dyDescent="0.3">
      <c r="C4059" s="132"/>
      <c r="D4059" s="133"/>
      <c r="E4059" s="134"/>
      <c r="F4059" s="134"/>
      <c r="G4059" s="135" t="s">
        <v>375</v>
      </c>
      <c r="H4059" s="136"/>
      <c r="I4059" s="137">
        <f>SUM(I4055:I4058)</f>
        <v>27085</v>
      </c>
    </row>
    <row r="4060" spans="2:10" ht="15.95" customHeight="1" x14ac:dyDescent="0.25">
      <c r="C4060" s="116" t="s">
        <v>376</v>
      </c>
      <c r="D4060" s="117" t="s">
        <v>377</v>
      </c>
      <c r="E4060" s="118"/>
      <c r="F4060" s="118"/>
      <c r="G4060" s="165"/>
      <c r="H4060" s="144"/>
      <c r="I4060" s="126"/>
    </row>
    <row r="4061" spans="2:10" ht="15.95" customHeight="1" x14ac:dyDescent="0.25">
      <c r="C4061" s="122"/>
      <c r="D4061" s="117" t="s">
        <v>1023</v>
      </c>
      <c r="E4061" s="118"/>
      <c r="F4061" s="123" t="s">
        <v>418</v>
      </c>
      <c r="G4061" s="124">
        <v>3.53</v>
      </c>
      <c r="H4061" s="144">
        <f>VLOOKUP(D4061,Bahan,6,FALSE)</f>
        <v>15730</v>
      </c>
      <c r="I4061" s="126">
        <f>G4061*H4061</f>
        <v>55526.899999999994</v>
      </c>
    </row>
    <row r="4062" spans="2:10" ht="15.95" customHeight="1" x14ac:dyDescent="0.25">
      <c r="C4062" s="122"/>
      <c r="D4062" s="117" t="s">
        <v>380</v>
      </c>
      <c r="E4062" s="118"/>
      <c r="F4062" s="123" t="s">
        <v>133</v>
      </c>
      <c r="G4062" s="124">
        <v>1.1399999999999999</v>
      </c>
      <c r="H4062" s="144">
        <f>VLOOKUP(D4062,Bahan,6,FALSE)</f>
        <v>1880</v>
      </c>
      <c r="I4062" s="126">
        <f>G4062*H4062</f>
        <v>2143.1999999999998</v>
      </c>
    </row>
    <row r="4063" spans="2:10" ht="15.95" customHeight="1" x14ac:dyDescent="0.25">
      <c r="C4063" s="122"/>
      <c r="D4063" s="117" t="s">
        <v>960</v>
      </c>
      <c r="E4063" s="118"/>
      <c r="F4063" s="123" t="s">
        <v>159</v>
      </c>
      <c r="G4063" s="124">
        <v>0.1</v>
      </c>
      <c r="H4063" s="144">
        <f>VLOOKUP(D4063,Bahan,6,FALSE)</f>
        <v>2460</v>
      </c>
      <c r="I4063" s="126">
        <f>G4063*H4063</f>
        <v>246</v>
      </c>
    </row>
    <row r="4064" spans="2:10" ht="15.95" customHeight="1" thickBot="1" x14ac:dyDescent="0.3">
      <c r="C4064" s="122"/>
      <c r="D4064" s="117" t="s">
        <v>493</v>
      </c>
      <c r="E4064" s="118"/>
      <c r="F4064" s="123" t="s">
        <v>489</v>
      </c>
      <c r="G4064" s="124">
        <v>3.0000000000000001E-3</v>
      </c>
      <c r="H4064" s="144">
        <f>VLOOKUP(D4064,Bahan,6,FALSE)</f>
        <v>253510</v>
      </c>
      <c r="I4064" s="126">
        <f>G4064*H4064</f>
        <v>760.53</v>
      </c>
    </row>
    <row r="4065" spans="2:10" ht="15.95" customHeight="1" thickBot="1" x14ac:dyDescent="0.3">
      <c r="C4065" s="132"/>
      <c r="D4065" s="133"/>
      <c r="E4065" s="134"/>
      <c r="F4065" s="134"/>
      <c r="G4065" s="135" t="s">
        <v>386</v>
      </c>
      <c r="H4065" s="136"/>
      <c r="I4065" s="137">
        <f>SUM(I4061:I4064)</f>
        <v>58676.62999999999</v>
      </c>
    </row>
    <row r="4066" spans="2:10" ht="15.95" customHeight="1" thickBot="1" x14ac:dyDescent="0.3">
      <c r="C4066" s="116" t="s">
        <v>387</v>
      </c>
      <c r="D4066" s="117" t="s">
        <v>388</v>
      </c>
      <c r="E4066" s="118"/>
      <c r="F4066" s="118"/>
      <c r="G4066" s="165"/>
      <c r="H4066" s="144">
        <f>IF(AND(D4066&lt;&gt;"",F4066&lt;&gt;""),IF(C4066="",IF(F4066="OH",VLOOKUP(D4066,[1]UPAH!$B$3:$G$32,7,0),VLOOKUP(D4066,[1]BAHAN!$A$2:$D$3,4,0)),0),0)</f>
        <v>0</v>
      </c>
      <c r="I4066" s="126">
        <f>G4066*H4066</f>
        <v>0</v>
      </c>
    </row>
    <row r="4067" spans="2:10" ht="15.95" customHeight="1" thickBot="1" x14ac:dyDescent="0.3">
      <c r="C4067" s="132"/>
      <c r="D4067" s="133"/>
      <c r="E4067" s="134"/>
      <c r="F4067" s="134"/>
      <c r="G4067" s="135" t="s">
        <v>389</v>
      </c>
      <c r="H4067" s="136"/>
      <c r="I4067" s="137">
        <f>I4066</f>
        <v>0</v>
      </c>
    </row>
    <row r="4068" spans="2:10" ht="15.95" customHeight="1" x14ac:dyDescent="0.25">
      <c r="C4068" s="158" t="s">
        <v>390</v>
      </c>
      <c r="D4068" s="159" t="s">
        <v>391</v>
      </c>
      <c r="E4068" s="160"/>
      <c r="F4068" s="160"/>
      <c r="G4068" s="161"/>
      <c r="H4068" s="162">
        <f>IF(AND(D4068&lt;&gt;"",F4068&lt;&gt;""),IF(C4068="",IF(F4068="OH",VLOOKUP(D4068,[1]UPAH!$B$3:$G$32,7,0),VLOOKUP(D4068,[1]BAHAN!$A$2:$D$3,4,0)),0),0)</f>
        <v>0</v>
      </c>
      <c r="I4068" s="126">
        <f>SUM(I4055:I4067)/2</f>
        <v>85761.62999999999</v>
      </c>
    </row>
    <row r="4069" spans="2:10" ht="15.95" customHeight="1" thickBot="1" x14ac:dyDescent="0.3">
      <c r="C4069" s="147" t="s">
        <v>392</v>
      </c>
      <c r="D4069" s="148" t="s">
        <v>393</v>
      </c>
      <c r="E4069" s="149"/>
      <c r="F4069" s="149"/>
      <c r="G4069" s="164">
        <v>0.1</v>
      </c>
      <c r="H4069" s="151"/>
      <c r="I4069" s="146">
        <f>G4069*I4068</f>
        <v>8576.1629999999986</v>
      </c>
    </row>
    <row r="4070" spans="2:10" ht="15.95" customHeight="1" thickBot="1" x14ac:dyDescent="0.3">
      <c r="C4070" s="111" t="s">
        <v>394</v>
      </c>
      <c r="D4070" s="112" t="s">
        <v>395</v>
      </c>
      <c r="E4070" s="134"/>
      <c r="F4070" s="134"/>
      <c r="G4070" s="156"/>
      <c r="H4070" s="136">
        <f>IF(AND(D4070&lt;&gt;"",F4070&lt;&gt;""),IF(C4070="",IF(F4070="OH",VLOOKUP(D4070,[1]UPAH!$B$3:$G$32,7,0),VLOOKUP(D4070,[1]BAHAN!$A$2:$D$3,4,0)),0),0)</f>
        <v>0</v>
      </c>
      <c r="I4070" s="137">
        <f>ROUNDDOWN(I4068+I4069,0)</f>
        <v>94337</v>
      </c>
    </row>
    <row r="4071" spans="2:10" ht="15.95" customHeight="1" x14ac:dyDescent="0.25">
      <c r="C4071" s="109"/>
      <c r="D4071" s="109"/>
      <c r="G4071" s="157"/>
    </row>
    <row r="4072" spans="2:10" ht="15.95" customHeight="1" thickBot="1" x14ac:dyDescent="0.3">
      <c r="B4072" s="109" t="s">
        <v>1024</v>
      </c>
      <c r="C4072" s="104" t="s">
        <v>1025</v>
      </c>
      <c r="G4072" s="157"/>
      <c r="J4072" s="110">
        <f>I4090</f>
        <v>56749</v>
      </c>
    </row>
    <row r="4073" spans="2:10" ht="15.95" customHeight="1" thickBot="1" x14ac:dyDescent="0.3">
      <c r="C4073" s="111" t="s">
        <v>328</v>
      </c>
      <c r="D4073" s="112" t="s">
        <v>359</v>
      </c>
      <c r="E4073" s="113" t="s">
        <v>360</v>
      </c>
      <c r="F4073" s="113" t="s">
        <v>330</v>
      </c>
      <c r="G4073" s="114" t="s">
        <v>361</v>
      </c>
      <c r="H4073" s="112" t="s">
        <v>362</v>
      </c>
      <c r="I4073" s="115" t="s">
        <v>363</v>
      </c>
    </row>
    <row r="4074" spans="2:10" ht="15.95" customHeight="1" x14ac:dyDescent="0.25">
      <c r="C4074" s="116" t="s">
        <v>364</v>
      </c>
      <c r="D4074" s="117" t="s">
        <v>365</v>
      </c>
      <c r="E4074" s="118"/>
      <c r="F4074" s="118"/>
      <c r="G4074" s="165"/>
      <c r="H4074" s="144"/>
      <c r="I4074" s="126"/>
    </row>
    <row r="4075" spans="2:10" ht="15.95" customHeight="1" x14ac:dyDescent="0.25">
      <c r="C4075" s="122"/>
      <c r="D4075" s="117" t="s">
        <v>366</v>
      </c>
      <c r="E4075" s="123" t="s">
        <v>367</v>
      </c>
      <c r="F4075" s="123" t="s">
        <v>368</v>
      </c>
      <c r="G4075" s="124">
        <v>0.09</v>
      </c>
      <c r="H4075" s="125">
        <f>VLOOKUP(D4075,Upah,8,FALSE)</f>
        <v>125000</v>
      </c>
      <c r="I4075" s="126">
        <f>G4075*H4075</f>
        <v>11250</v>
      </c>
    </row>
    <row r="4076" spans="2:10" ht="15.95" customHeight="1" x14ac:dyDescent="0.25">
      <c r="C4076" s="122"/>
      <c r="D4076" s="117" t="s">
        <v>505</v>
      </c>
      <c r="E4076" s="123" t="s">
        <v>414</v>
      </c>
      <c r="F4076" s="123" t="s">
        <v>368</v>
      </c>
      <c r="G4076" s="124">
        <v>0.09</v>
      </c>
      <c r="H4076" s="125">
        <f>VLOOKUP(D4076,Upah,8,FALSE)</f>
        <v>150000</v>
      </c>
      <c r="I4076" s="126">
        <f>G4076*H4076</f>
        <v>13500</v>
      </c>
    </row>
    <row r="4077" spans="2:10" ht="15.95" customHeight="1" x14ac:dyDescent="0.25">
      <c r="C4077" s="122"/>
      <c r="D4077" s="117" t="s">
        <v>429</v>
      </c>
      <c r="E4077" s="123" t="s">
        <v>372</v>
      </c>
      <c r="F4077" s="123" t="s">
        <v>368</v>
      </c>
      <c r="G4077" s="124">
        <v>8.9999999999999993E-3</v>
      </c>
      <c r="H4077" s="125">
        <f>VLOOKUP(D4077,Upah,8,FALSE)</f>
        <v>165000</v>
      </c>
      <c r="I4077" s="126">
        <f>G4077*H4077</f>
        <v>1485</v>
      </c>
    </row>
    <row r="4078" spans="2:10" ht="15.95" customHeight="1" thickBot="1" x14ac:dyDescent="0.3">
      <c r="C4078" s="122"/>
      <c r="D4078" s="117" t="s">
        <v>373</v>
      </c>
      <c r="E4078" s="123" t="s">
        <v>374</v>
      </c>
      <c r="F4078" s="123" t="s">
        <v>368</v>
      </c>
      <c r="G4078" s="124">
        <v>5.0000000000000001E-3</v>
      </c>
      <c r="H4078" s="125">
        <f>VLOOKUP(D4078,Upah,8,FALSE)</f>
        <v>170000</v>
      </c>
      <c r="I4078" s="126">
        <f>G4078*H4078</f>
        <v>850</v>
      </c>
    </row>
    <row r="4079" spans="2:10" ht="15.95" customHeight="1" thickBot="1" x14ac:dyDescent="0.3">
      <c r="C4079" s="132"/>
      <c r="D4079" s="133"/>
      <c r="E4079" s="134"/>
      <c r="F4079" s="134"/>
      <c r="G4079" s="135" t="s">
        <v>375</v>
      </c>
      <c r="H4079" s="136"/>
      <c r="I4079" s="137">
        <f>SUM(I4075:I4078)</f>
        <v>27085</v>
      </c>
    </row>
    <row r="4080" spans="2:10" ht="15.95" customHeight="1" x14ac:dyDescent="0.25">
      <c r="C4080" s="116" t="s">
        <v>376</v>
      </c>
      <c r="D4080" s="117" t="s">
        <v>377</v>
      </c>
      <c r="E4080" s="118"/>
      <c r="F4080" s="118"/>
      <c r="G4080" s="165"/>
      <c r="H4080" s="144"/>
      <c r="I4080" s="126"/>
    </row>
    <row r="4081" spans="2:10" ht="15.95" customHeight="1" x14ac:dyDescent="0.25">
      <c r="C4081" s="122"/>
      <c r="D4081" s="117" t="s">
        <v>1026</v>
      </c>
      <c r="E4081" s="118"/>
      <c r="F4081" s="123" t="s">
        <v>418</v>
      </c>
      <c r="G4081" s="124">
        <v>2.63</v>
      </c>
      <c r="H4081" s="144">
        <f>VLOOKUP(D4081,Bahan,6,FALSE)</f>
        <v>8120</v>
      </c>
      <c r="I4081" s="126">
        <f>G4081*H4081</f>
        <v>21355.599999999999</v>
      </c>
    </row>
    <row r="4082" spans="2:10" ht="15.95" customHeight="1" x14ac:dyDescent="0.25">
      <c r="C4082" s="122"/>
      <c r="D4082" s="117" t="s">
        <v>380</v>
      </c>
      <c r="E4082" s="118"/>
      <c r="F4082" s="123" t="s">
        <v>133</v>
      </c>
      <c r="G4082" s="124">
        <v>1.1399999999999999</v>
      </c>
      <c r="H4082" s="144">
        <f>VLOOKUP(D4082,Bahan,6,FALSE)</f>
        <v>1880</v>
      </c>
      <c r="I4082" s="126">
        <f>G4082*H4082</f>
        <v>2143.1999999999998</v>
      </c>
    </row>
    <row r="4083" spans="2:10" ht="15.95" customHeight="1" x14ac:dyDescent="0.25">
      <c r="C4083" s="122"/>
      <c r="D4083" s="117" t="s">
        <v>960</v>
      </c>
      <c r="E4083" s="118"/>
      <c r="F4083" s="123" t="s">
        <v>159</v>
      </c>
      <c r="G4083" s="124">
        <v>0.1</v>
      </c>
      <c r="H4083" s="144">
        <f>VLOOKUP(D4083,Bahan,6,FALSE)</f>
        <v>2460</v>
      </c>
      <c r="I4083" s="126">
        <f>G4083*H4083</f>
        <v>246</v>
      </c>
    </row>
    <row r="4084" spans="2:10" ht="15.95" customHeight="1" thickBot="1" x14ac:dyDescent="0.3">
      <c r="C4084" s="122"/>
      <c r="D4084" s="117" t="s">
        <v>493</v>
      </c>
      <c r="E4084" s="118"/>
      <c r="F4084" s="123" t="s">
        <v>489</v>
      </c>
      <c r="G4084" s="124">
        <v>3.0000000000000001E-3</v>
      </c>
      <c r="H4084" s="144">
        <f>VLOOKUP(D4084,Bahan,6,FALSE)</f>
        <v>253510</v>
      </c>
      <c r="I4084" s="126">
        <f>G4084*H4084</f>
        <v>760.53</v>
      </c>
    </row>
    <row r="4085" spans="2:10" ht="15.95" customHeight="1" thickBot="1" x14ac:dyDescent="0.3">
      <c r="C4085" s="132"/>
      <c r="D4085" s="133"/>
      <c r="E4085" s="134"/>
      <c r="F4085" s="134"/>
      <c r="G4085" s="135" t="s">
        <v>386</v>
      </c>
      <c r="H4085" s="136"/>
      <c r="I4085" s="137">
        <f>SUM(I4081:I4084)</f>
        <v>24505.329999999998</v>
      </c>
    </row>
    <row r="4086" spans="2:10" ht="15.95" customHeight="1" thickBot="1" x14ac:dyDescent="0.3">
      <c r="C4086" s="116" t="s">
        <v>387</v>
      </c>
      <c r="D4086" s="117" t="s">
        <v>388</v>
      </c>
      <c r="E4086" s="118"/>
      <c r="F4086" s="118"/>
      <c r="G4086" s="165"/>
      <c r="H4086" s="144">
        <f>IF(AND(D4086&lt;&gt;"",F4086&lt;&gt;""),IF(C4086="",IF(F4086="OH",VLOOKUP(D4086,[1]UPAH!$B$3:$G$32,7,0),VLOOKUP(D4086,[1]BAHAN!$A$2:$D$3,4,0)),0),0)</f>
        <v>0</v>
      </c>
      <c r="I4086" s="126">
        <f>G4086*H4086</f>
        <v>0</v>
      </c>
    </row>
    <row r="4087" spans="2:10" ht="15.95" customHeight="1" thickBot="1" x14ac:dyDescent="0.3">
      <c r="C4087" s="132"/>
      <c r="D4087" s="133"/>
      <c r="E4087" s="134"/>
      <c r="F4087" s="134"/>
      <c r="G4087" s="135" t="s">
        <v>389</v>
      </c>
      <c r="H4087" s="136"/>
      <c r="I4087" s="137">
        <f>I4086</f>
        <v>0</v>
      </c>
    </row>
    <row r="4088" spans="2:10" ht="15.95" customHeight="1" x14ac:dyDescent="0.25">
      <c r="C4088" s="158" t="s">
        <v>390</v>
      </c>
      <c r="D4088" s="159" t="s">
        <v>391</v>
      </c>
      <c r="E4088" s="160"/>
      <c r="F4088" s="160"/>
      <c r="G4088" s="161"/>
      <c r="H4088" s="162">
        <f>IF(AND(D4088&lt;&gt;"",F4088&lt;&gt;""),IF(C4088="",IF(F4088="OH",VLOOKUP(D4088,[1]UPAH!$B$3:$G$32,7,0),VLOOKUP(D4088,[1]BAHAN!$A$2:$D$3,4,0)),0),0)</f>
        <v>0</v>
      </c>
      <c r="I4088" s="126">
        <f>SUM(I4075:I4087)/2</f>
        <v>51590.33</v>
      </c>
    </row>
    <row r="4089" spans="2:10" ht="15.95" customHeight="1" thickBot="1" x14ac:dyDescent="0.3">
      <c r="C4089" s="195" t="s">
        <v>392</v>
      </c>
      <c r="D4089" s="196" t="s">
        <v>393</v>
      </c>
      <c r="E4089" s="197"/>
      <c r="F4089" s="197"/>
      <c r="G4089" s="233">
        <v>0.1</v>
      </c>
      <c r="H4089" s="199"/>
      <c r="I4089" s="182">
        <f>G4089*I4088</f>
        <v>5159.0330000000004</v>
      </c>
    </row>
    <row r="4090" spans="2:10" ht="15.95" customHeight="1" thickBot="1" x14ac:dyDescent="0.3">
      <c r="C4090" s="111" t="s">
        <v>394</v>
      </c>
      <c r="D4090" s="112" t="s">
        <v>395</v>
      </c>
      <c r="E4090" s="134"/>
      <c r="F4090" s="134"/>
      <c r="G4090" s="156"/>
      <c r="H4090" s="136">
        <f>IF(AND(D4090&lt;&gt;"",F4090&lt;&gt;""),IF(C4090="",IF(F4090="OH",VLOOKUP(D4090,[1]UPAH!$B$3:$G$32,7,0),VLOOKUP(D4090,[1]BAHAN!$A$2:$D$3,4,0)),0),0)</f>
        <v>0</v>
      </c>
      <c r="I4090" s="137">
        <f>ROUNDDOWN(I4088+I4089,0)</f>
        <v>56749</v>
      </c>
    </row>
    <row r="4091" spans="2:10" ht="15.95" customHeight="1" x14ac:dyDescent="0.25">
      <c r="C4091" s="109"/>
      <c r="D4091" s="109"/>
      <c r="G4091" s="157"/>
    </row>
    <row r="4092" spans="2:10" ht="15.95" customHeight="1" thickBot="1" x14ac:dyDescent="0.3">
      <c r="B4092" s="109" t="s">
        <v>1027</v>
      </c>
      <c r="C4092" s="104" t="s">
        <v>1028</v>
      </c>
      <c r="G4092" s="157"/>
      <c r="J4092" s="110">
        <f>I4110</f>
        <v>60594</v>
      </c>
    </row>
    <row r="4093" spans="2:10" ht="15.95" customHeight="1" thickBot="1" x14ac:dyDescent="0.3">
      <c r="C4093" s="111" t="s">
        <v>328</v>
      </c>
      <c r="D4093" s="112" t="s">
        <v>359</v>
      </c>
      <c r="E4093" s="113" t="s">
        <v>360</v>
      </c>
      <c r="F4093" s="113" t="s">
        <v>330</v>
      </c>
      <c r="G4093" s="114" t="s">
        <v>361</v>
      </c>
      <c r="H4093" s="112" t="s">
        <v>362</v>
      </c>
      <c r="I4093" s="115" t="s">
        <v>363</v>
      </c>
    </row>
    <row r="4094" spans="2:10" ht="15.95" customHeight="1" x14ac:dyDescent="0.25">
      <c r="C4094" s="116" t="s">
        <v>364</v>
      </c>
      <c r="D4094" s="117" t="s">
        <v>365</v>
      </c>
      <c r="E4094" s="118"/>
      <c r="F4094" s="118"/>
      <c r="G4094" s="165"/>
      <c r="H4094" s="144"/>
      <c r="I4094" s="126"/>
    </row>
    <row r="4095" spans="2:10" ht="15.95" customHeight="1" x14ac:dyDescent="0.25">
      <c r="C4095" s="122"/>
      <c r="D4095" s="117" t="s">
        <v>366</v>
      </c>
      <c r="E4095" s="123" t="s">
        <v>367</v>
      </c>
      <c r="F4095" s="123" t="s">
        <v>368</v>
      </c>
      <c r="G4095" s="124">
        <v>0.09</v>
      </c>
      <c r="H4095" s="125">
        <f>VLOOKUP(D4095,Upah,8,FALSE)</f>
        <v>125000</v>
      </c>
      <c r="I4095" s="126">
        <f>G4095*H4095</f>
        <v>11250</v>
      </c>
    </row>
    <row r="4096" spans="2:10" ht="15.95" customHeight="1" x14ac:dyDescent="0.25">
      <c r="C4096" s="122"/>
      <c r="D4096" s="117" t="s">
        <v>505</v>
      </c>
      <c r="E4096" s="123" t="s">
        <v>414</v>
      </c>
      <c r="F4096" s="123" t="s">
        <v>368</v>
      </c>
      <c r="G4096" s="124">
        <v>0.09</v>
      </c>
      <c r="H4096" s="125">
        <f>VLOOKUP(D4096,Upah,8,FALSE)</f>
        <v>150000</v>
      </c>
      <c r="I4096" s="126">
        <f>G4096*H4096</f>
        <v>13500</v>
      </c>
    </row>
    <row r="4097" spans="2:10" ht="15.95" customHeight="1" x14ac:dyDescent="0.25">
      <c r="C4097" s="122"/>
      <c r="D4097" s="117" t="s">
        <v>429</v>
      </c>
      <c r="E4097" s="123" t="s">
        <v>372</v>
      </c>
      <c r="F4097" s="123" t="s">
        <v>368</v>
      </c>
      <c r="G4097" s="124">
        <v>8.9999999999999993E-3</v>
      </c>
      <c r="H4097" s="125">
        <f>VLOOKUP(D4097,Upah,8,FALSE)</f>
        <v>165000</v>
      </c>
      <c r="I4097" s="126">
        <f>G4097*H4097</f>
        <v>1485</v>
      </c>
    </row>
    <row r="4098" spans="2:10" ht="15.95" customHeight="1" thickBot="1" x14ac:dyDescent="0.3">
      <c r="C4098" s="122"/>
      <c r="D4098" s="117" t="s">
        <v>373</v>
      </c>
      <c r="E4098" s="123" t="s">
        <v>374</v>
      </c>
      <c r="F4098" s="123" t="s">
        <v>368</v>
      </c>
      <c r="G4098" s="124">
        <v>5.0000000000000001E-3</v>
      </c>
      <c r="H4098" s="125">
        <f>VLOOKUP(D4098,Upah,8,FALSE)</f>
        <v>170000</v>
      </c>
      <c r="I4098" s="126">
        <f>G4098*H4098</f>
        <v>850</v>
      </c>
    </row>
    <row r="4099" spans="2:10" ht="15.95" customHeight="1" thickBot="1" x14ac:dyDescent="0.3">
      <c r="C4099" s="132"/>
      <c r="D4099" s="133"/>
      <c r="E4099" s="134"/>
      <c r="F4099" s="134"/>
      <c r="G4099" s="135" t="s">
        <v>375</v>
      </c>
      <c r="H4099" s="136"/>
      <c r="I4099" s="137">
        <f>SUM(I4095:I4098)</f>
        <v>27085</v>
      </c>
    </row>
    <row r="4100" spans="2:10" ht="15.95" customHeight="1" x14ac:dyDescent="0.25">
      <c r="C4100" s="116" t="s">
        <v>376</v>
      </c>
      <c r="D4100" s="117" t="s">
        <v>377</v>
      </c>
      <c r="E4100" s="118"/>
      <c r="F4100" s="118"/>
      <c r="G4100" s="165"/>
      <c r="H4100" s="144"/>
      <c r="I4100" s="126"/>
    </row>
    <row r="4101" spans="2:10" ht="15.95" customHeight="1" x14ac:dyDescent="0.25">
      <c r="C4101" s="122"/>
      <c r="D4101" s="117" t="s">
        <v>1029</v>
      </c>
      <c r="E4101" s="118"/>
      <c r="F4101" s="123" t="s">
        <v>418</v>
      </c>
      <c r="G4101" s="124">
        <v>3.53</v>
      </c>
      <c r="H4101" s="144">
        <f>VLOOKUP(D4101,Bahan,6,FALSE)</f>
        <v>7040</v>
      </c>
      <c r="I4101" s="126">
        <f>G4101*H4101</f>
        <v>24851.199999999997</v>
      </c>
    </row>
    <row r="4102" spans="2:10" ht="15.95" customHeight="1" x14ac:dyDescent="0.25">
      <c r="C4102" s="122"/>
      <c r="D4102" s="117" t="s">
        <v>380</v>
      </c>
      <c r="E4102" s="118"/>
      <c r="F4102" s="123" t="s">
        <v>133</v>
      </c>
      <c r="G4102" s="124">
        <v>1.1399999999999999</v>
      </c>
      <c r="H4102" s="144">
        <f>VLOOKUP(D4102,Bahan,6,FALSE)</f>
        <v>1880</v>
      </c>
      <c r="I4102" s="126">
        <f>G4102*H4102</f>
        <v>2143.1999999999998</v>
      </c>
    </row>
    <row r="4103" spans="2:10" ht="15.95" customHeight="1" x14ac:dyDescent="0.25">
      <c r="C4103" s="122"/>
      <c r="D4103" s="117" t="s">
        <v>960</v>
      </c>
      <c r="E4103" s="118"/>
      <c r="F4103" s="123" t="s">
        <v>159</v>
      </c>
      <c r="G4103" s="124">
        <v>0.1</v>
      </c>
      <c r="H4103" s="144">
        <f>VLOOKUP(D4103,Bahan,6,FALSE)</f>
        <v>2460</v>
      </c>
      <c r="I4103" s="126">
        <f>G4103*H4103</f>
        <v>246</v>
      </c>
    </row>
    <row r="4104" spans="2:10" ht="15.95" customHeight="1" thickBot="1" x14ac:dyDescent="0.3">
      <c r="C4104" s="122"/>
      <c r="D4104" s="117" t="s">
        <v>493</v>
      </c>
      <c r="E4104" s="118"/>
      <c r="F4104" s="123" t="s">
        <v>489</v>
      </c>
      <c r="G4104" s="124">
        <v>3.0000000000000001E-3</v>
      </c>
      <c r="H4104" s="144">
        <f>VLOOKUP(D4104,Bahan,6,FALSE)</f>
        <v>253510</v>
      </c>
      <c r="I4104" s="126">
        <f>G4104*H4104</f>
        <v>760.53</v>
      </c>
    </row>
    <row r="4105" spans="2:10" ht="15.95" customHeight="1" thickBot="1" x14ac:dyDescent="0.3">
      <c r="C4105" s="132"/>
      <c r="D4105" s="133"/>
      <c r="E4105" s="134"/>
      <c r="F4105" s="134"/>
      <c r="G4105" s="135" t="s">
        <v>386</v>
      </c>
      <c r="H4105" s="136"/>
      <c r="I4105" s="137">
        <f>SUM(I4101:I4104)</f>
        <v>28000.929999999997</v>
      </c>
    </row>
    <row r="4106" spans="2:10" ht="15.95" customHeight="1" thickBot="1" x14ac:dyDescent="0.3">
      <c r="C4106" s="116" t="s">
        <v>387</v>
      </c>
      <c r="D4106" s="117" t="s">
        <v>388</v>
      </c>
      <c r="E4106" s="118"/>
      <c r="F4106" s="118"/>
      <c r="G4106" s="165"/>
      <c r="H4106" s="144">
        <f>IF(AND(D4106&lt;&gt;"",F4106&lt;&gt;""),IF(C4106="",IF(F4106="OH",VLOOKUP(D4106,[1]UPAH!$B$3:$G$32,7,0),VLOOKUP(D4106,[1]BAHAN!$A$2:$D$3,4,0)),0),0)</f>
        <v>0</v>
      </c>
      <c r="I4106" s="126">
        <f>G4106*H4106</f>
        <v>0</v>
      </c>
    </row>
    <row r="4107" spans="2:10" ht="15.95" customHeight="1" thickBot="1" x14ac:dyDescent="0.3">
      <c r="C4107" s="132"/>
      <c r="D4107" s="133"/>
      <c r="E4107" s="134"/>
      <c r="F4107" s="134"/>
      <c r="G4107" s="135" t="s">
        <v>389</v>
      </c>
      <c r="H4107" s="136"/>
      <c r="I4107" s="137">
        <f>I4106</f>
        <v>0</v>
      </c>
    </row>
    <row r="4108" spans="2:10" ht="15.95" customHeight="1" x14ac:dyDescent="0.25">
      <c r="C4108" s="158" t="s">
        <v>390</v>
      </c>
      <c r="D4108" s="159" t="s">
        <v>391</v>
      </c>
      <c r="E4108" s="160"/>
      <c r="F4108" s="160"/>
      <c r="G4108" s="161"/>
      <c r="H4108" s="162">
        <f>IF(AND(D4108&lt;&gt;"",F4108&lt;&gt;""),IF(C4108="",IF(F4108="OH",VLOOKUP(D4108,[1]UPAH!$B$3:$G$32,7,0),VLOOKUP(D4108,[1]BAHAN!$A$2:$D$3,4,0)),0),0)</f>
        <v>0</v>
      </c>
      <c r="I4108" s="126">
        <f>SUM(I4095:I4107)/2</f>
        <v>55085.929999999993</v>
      </c>
    </row>
    <row r="4109" spans="2:10" ht="15.95" customHeight="1" thickBot="1" x14ac:dyDescent="0.3">
      <c r="C4109" s="147" t="s">
        <v>392</v>
      </c>
      <c r="D4109" s="148" t="s">
        <v>393</v>
      </c>
      <c r="E4109" s="149"/>
      <c r="F4109" s="149"/>
      <c r="G4109" s="164">
        <v>0.1</v>
      </c>
      <c r="H4109" s="151"/>
      <c r="I4109" s="146">
        <f>G4109*I4108</f>
        <v>5508.5929999999998</v>
      </c>
    </row>
    <row r="4110" spans="2:10" ht="15.95" customHeight="1" thickBot="1" x14ac:dyDescent="0.3">
      <c r="C4110" s="111" t="s">
        <v>394</v>
      </c>
      <c r="D4110" s="112" t="s">
        <v>395</v>
      </c>
      <c r="E4110" s="134"/>
      <c r="F4110" s="134"/>
      <c r="G4110" s="156"/>
      <c r="H4110" s="136">
        <f>IF(AND(D4110&lt;&gt;"",F4110&lt;&gt;""),IF(C4110="",IF(F4110="OH",VLOOKUP(D4110,[1]UPAH!$B$3:$G$32,7,0),VLOOKUP(D4110,[1]BAHAN!$A$2:$D$3,4,0)),0),0)</f>
        <v>0</v>
      </c>
      <c r="I4110" s="137">
        <f>ROUNDDOWN(I4108+I4109,0)</f>
        <v>60594</v>
      </c>
    </row>
    <row r="4111" spans="2:10" ht="15.95" customHeight="1" x14ac:dyDescent="0.25">
      <c r="C4111" s="109"/>
      <c r="D4111" s="109"/>
      <c r="G4111" s="157"/>
    </row>
    <row r="4112" spans="2:10" ht="15.95" customHeight="1" thickBot="1" x14ac:dyDescent="0.3">
      <c r="B4112" s="109" t="s">
        <v>1030</v>
      </c>
      <c r="C4112" s="104" t="s">
        <v>1031</v>
      </c>
      <c r="G4112" s="157"/>
      <c r="J4112" s="110">
        <f>I4130</f>
        <v>68863</v>
      </c>
    </row>
    <row r="4113" spans="3:9" ht="15.95" customHeight="1" thickBot="1" x14ac:dyDescent="0.3">
      <c r="C4113" s="111" t="s">
        <v>328</v>
      </c>
      <c r="D4113" s="112" t="s">
        <v>359</v>
      </c>
      <c r="E4113" s="113" t="s">
        <v>360</v>
      </c>
      <c r="F4113" s="113" t="s">
        <v>330</v>
      </c>
      <c r="G4113" s="114" t="s">
        <v>361</v>
      </c>
      <c r="H4113" s="112" t="s">
        <v>362</v>
      </c>
      <c r="I4113" s="115" t="s">
        <v>363</v>
      </c>
    </row>
    <row r="4114" spans="3:9" ht="15.95" customHeight="1" x14ac:dyDescent="0.25">
      <c r="C4114" s="116" t="s">
        <v>364</v>
      </c>
      <c r="D4114" s="117" t="s">
        <v>365</v>
      </c>
      <c r="E4114" s="118"/>
      <c r="F4114" s="118"/>
      <c r="G4114" s="165"/>
      <c r="H4114" s="144"/>
      <c r="I4114" s="126"/>
    </row>
    <row r="4115" spans="3:9" ht="15.95" customHeight="1" x14ac:dyDescent="0.25">
      <c r="C4115" s="122"/>
      <c r="D4115" s="117" t="s">
        <v>366</v>
      </c>
      <c r="E4115" s="123" t="s">
        <v>367</v>
      </c>
      <c r="F4115" s="123" t="s">
        <v>368</v>
      </c>
      <c r="G4115" s="124">
        <v>0.09</v>
      </c>
      <c r="H4115" s="125">
        <f>VLOOKUP(D4115,Upah,8,FALSE)</f>
        <v>125000</v>
      </c>
      <c r="I4115" s="126">
        <f>G4115*H4115</f>
        <v>11250</v>
      </c>
    </row>
    <row r="4116" spans="3:9" ht="15.95" customHeight="1" x14ac:dyDescent="0.25">
      <c r="C4116" s="122"/>
      <c r="D4116" s="117" t="s">
        <v>505</v>
      </c>
      <c r="E4116" s="123" t="s">
        <v>414</v>
      </c>
      <c r="F4116" s="123" t="s">
        <v>368</v>
      </c>
      <c r="G4116" s="124">
        <v>0.09</v>
      </c>
      <c r="H4116" s="125">
        <f>VLOOKUP(D4116,Upah,8,FALSE)</f>
        <v>150000</v>
      </c>
      <c r="I4116" s="126">
        <f>G4116*H4116</f>
        <v>13500</v>
      </c>
    </row>
    <row r="4117" spans="3:9" ht="15.95" customHeight="1" x14ac:dyDescent="0.25">
      <c r="C4117" s="122"/>
      <c r="D4117" s="117" t="s">
        <v>429</v>
      </c>
      <c r="E4117" s="123" t="s">
        <v>372</v>
      </c>
      <c r="F4117" s="123" t="s">
        <v>368</v>
      </c>
      <c r="G4117" s="124">
        <v>8.9999999999999993E-3</v>
      </c>
      <c r="H4117" s="125">
        <f>VLOOKUP(D4117,Upah,8,FALSE)</f>
        <v>165000</v>
      </c>
      <c r="I4117" s="126">
        <f>G4117*H4117</f>
        <v>1485</v>
      </c>
    </row>
    <row r="4118" spans="3:9" ht="15.95" customHeight="1" thickBot="1" x14ac:dyDescent="0.3">
      <c r="C4118" s="122"/>
      <c r="D4118" s="117" t="s">
        <v>373</v>
      </c>
      <c r="E4118" s="123" t="s">
        <v>374</v>
      </c>
      <c r="F4118" s="123" t="s">
        <v>368</v>
      </c>
      <c r="G4118" s="124">
        <v>5.0000000000000001E-3</v>
      </c>
      <c r="H4118" s="125">
        <f>VLOOKUP(D4118,Upah,8,FALSE)</f>
        <v>170000</v>
      </c>
      <c r="I4118" s="126">
        <f>G4118*H4118</f>
        <v>850</v>
      </c>
    </row>
    <row r="4119" spans="3:9" ht="15.95" customHeight="1" thickBot="1" x14ac:dyDescent="0.3">
      <c r="C4119" s="132"/>
      <c r="D4119" s="133"/>
      <c r="E4119" s="134"/>
      <c r="F4119" s="134"/>
      <c r="G4119" s="135" t="s">
        <v>375</v>
      </c>
      <c r="H4119" s="136"/>
      <c r="I4119" s="137">
        <f>SUM(I4115:I4118)</f>
        <v>27085</v>
      </c>
    </row>
    <row r="4120" spans="3:9" ht="15.95" customHeight="1" x14ac:dyDescent="0.25">
      <c r="C4120" s="116" t="s">
        <v>376</v>
      </c>
      <c r="D4120" s="117" t="s">
        <v>377</v>
      </c>
      <c r="E4120" s="118"/>
      <c r="F4120" s="118"/>
      <c r="G4120" s="165"/>
      <c r="H4120" s="144"/>
      <c r="I4120" s="126"/>
    </row>
    <row r="4121" spans="3:9" ht="15.95" customHeight="1" x14ac:dyDescent="0.25">
      <c r="C4121" s="122"/>
      <c r="D4121" s="117" t="s">
        <v>1032</v>
      </c>
      <c r="E4121" s="118"/>
      <c r="F4121" s="123" t="s">
        <v>418</v>
      </c>
      <c r="G4121" s="124">
        <v>1.7</v>
      </c>
      <c r="H4121" s="144">
        <f>VLOOKUP(D4121,Bahan,6,FALSE)</f>
        <v>19040</v>
      </c>
      <c r="I4121" s="126">
        <f>G4121*H4121</f>
        <v>32368</v>
      </c>
    </row>
    <row r="4122" spans="3:9" ht="15.95" customHeight="1" x14ac:dyDescent="0.25">
      <c r="C4122" s="122"/>
      <c r="D4122" s="117" t="s">
        <v>380</v>
      </c>
      <c r="E4122" s="118"/>
      <c r="F4122" s="123" t="s">
        <v>133</v>
      </c>
      <c r="G4122" s="124">
        <v>1.1399999999999999</v>
      </c>
      <c r="H4122" s="144">
        <f>VLOOKUP(D4122,Bahan,6,FALSE)</f>
        <v>1880</v>
      </c>
      <c r="I4122" s="126">
        <f>G4122*H4122</f>
        <v>2143.1999999999998</v>
      </c>
    </row>
    <row r="4123" spans="3:9" ht="15.95" customHeight="1" x14ac:dyDescent="0.25">
      <c r="C4123" s="122"/>
      <c r="D4123" s="117" t="s">
        <v>960</v>
      </c>
      <c r="E4123" s="118"/>
      <c r="F4123" s="123" t="s">
        <v>159</v>
      </c>
      <c r="G4123" s="124">
        <v>0.1</v>
      </c>
      <c r="H4123" s="144">
        <f>VLOOKUP(D4123,Bahan,6,FALSE)</f>
        <v>2460</v>
      </c>
      <c r="I4123" s="126">
        <f>G4123*H4123</f>
        <v>246</v>
      </c>
    </row>
    <row r="4124" spans="3:9" ht="15.95" customHeight="1" thickBot="1" x14ac:dyDescent="0.3">
      <c r="C4124" s="122"/>
      <c r="D4124" s="117" t="s">
        <v>493</v>
      </c>
      <c r="E4124" s="118"/>
      <c r="F4124" s="123" t="s">
        <v>489</v>
      </c>
      <c r="G4124" s="124">
        <v>3.0000000000000001E-3</v>
      </c>
      <c r="H4124" s="144">
        <f>VLOOKUP(D4124,Bahan,6,FALSE)</f>
        <v>253510</v>
      </c>
      <c r="I4124" s="126">
        <f>G4124*H4124</f>
        <v>760.53</v>
      </c>
    </row>
    <row r="4125" spans="3:9" ht="15.95" customHeight="1" thickBot="1" x14ac:dyDescent="0.3">
      <c r="C4125" s="132"/>
      <c r="D4125" s="133"/>
      <c r="E4125" s="134"/>
      <c r="F4125" s="134"/>
      <c r="G4125" s="135" t="s">
        <v>386</v>
      </c>
      <c r="H4125" s="136"/>
      <c r="I4125" s="137">
        <f>SUM(I4121:I4124)</f>
        <v>35517.729999999996</v>
      </c>
    </row>
    <row r="4126" spans="3:9" ht="15.95" customHeight="1" thickBot="1" x14ac:dyDescent="0.3">
      <c r="C4126" s="116" t="s">
        <v>387</v>
      </c>
      <c r="D4126" s="117" t="s">
        <v>388</v>
      </c>
      <c r="E4126" s="118"/>
      <c r="F4126" s="118"/>
      <c r="G4126" s="165"/>
      <c r="H4126" s="144">
        <f>IF(AND(D4126&lt;&gt;"",F4126&lt;&gt;""),IF(C4126="",IF(F4126="OH",VLOOKUP(D4126,[1]UPAH!$B$3:$G$32,7,0),VLOOKUP(D4126,[1]BAHAN!$A$2:$D$3,4,0)),0),0)</f>
        <v>0</v>
      </c>
      <c r="I4126" s="126">
        <f>G4126*H4126</f>
        <v>0</v>
      </c>
    </row>
    <row r="4127" spans="3:9" ht="15.95" customHeight="1" thickBot="1" x14ac:dyDescent="0.3">
      <c r="C4127" s="132"/>
      <c r="D4127" s="133"/>
      <c r="E4127" s="134"/>
      <c r="F4127" s="134"/>
      <c r="G4127" s="135" t="s">
        <v>389</v>
      </c>
      <c r="H4127" s="136"/>
      <c r="I4127" s="137">
        <f>I4126</f>
        <v>0</v>
      </c>
    </row>
    <row r="4128" spans="3:9" ht="15.95" customHeight="1" x14ac:dyDescent="0.25">
      <c r="C4128" s="158" t="s">
        <v>390</v>
      </c>
      <c r="D4128" s="159" t="s">
        <v>391</v>
      </c>
      <c r="E4128" s="160"/>
      <c r="F4128" s="160"/>
      <c r="G4128" s="161"/>
      <c r="H4128" s="162">
        <f>IF(AND(D4128&lt;&gt;"",F4128&lt;&gt;""),IF(C4128="",IF(F4128="OH",VLOOKUP(D4128,[1]UPAH!$B$3:$G$32,7,0),VLOOKUP(D4128,[1]BAHAN!$A$2:$D$3,4,0)),0),0)</f>
        <v>0</v>
      </c>
      <c r="I4128" s="126">
        <f>SUM(I4115:I4127)/2</f>
        <v>62602.729999999996</v>
      </c>
    </row>
    <row r="4129" spans="2:10" ht="15.95" customHeight="1" thickBot="1" x14ac:dyDescent="0.3">
      <c r="C4129" s="147" t="s">
        <v>392</v>
      </c>
      <c r="D4129" s="148" t="s">
        <v>393</v>
      </c>
      <c r="E4129" s="149"/>
      <c r="F4129" s="149"/>
      <c r="G4129" s="164">
        <v>0.1</v>
      </c>
      <c r="H4129" s="151"/>
      <c r="I4129" s="146">
        <f>G4129*I4128</f>
        <v>6260.2730000000001</v>
      </c>
    </row>
    <row r="4130" spans="2:10" ht="15.95" customHeight="1" thickBot="1" x14ac:dyDescent="0.3">
      <c r="C4130" s="111" t="s">
        <v>394</v>
      </c>
      <c r="D4130" s="112" t="s">
        <v>395</v>
      </c>
      <c r="E4130" s="134"/>
      <c r="F4130" s="134"/>
      <c r="G4130" s="156"/>
      <c r="H4130" s="136">
        <f>IF(AND(D4130&lt;&gt;"",F4130&lt;&gt;""),IF(C4130="",IF(F4130="OH",VLOOKUP(D4130,[1]UPAH!$B$3:$G$32,7,0),VLOOKUP(D4130,[1]BAHAN!$A$2:$D$3,4,0)),0),0)</f>
        <v>0</v>
      </c>
      <c r="I4130" s="137">
        <f>ROUNDDOWN(I4128+I4129,0)</f>
        <v>68863</v>
      </c>
    </row>
    <row r="4131" spans="2:10" ht="15.95" customHeight="1" x14ac:dyDescent="0.25">
      <c r="C4131" s="109"/>
      <c r="D4131" s="109"/>
      <c r="G4131" s="157"/>
    </row>
    <row r="4132" spans="2:10" ht="15.95" customHeight="1" thickBot="1" x14ac:dyDescent="0.3">
      <c r="B4132" s="109" t="s">
        <v>1033</v>
      </c>
      <c r="C4132" s="104" t="s">
        <v>1034</v>
      </c>
      <c r="G4132" s="157"/>
      <c r="J4132" s="110">
        <f>I4150</f>
        <v>85728</v>
      </c>
    </row>
    <row r="4133" spans="2:10" ht="15.95" customHeight="1" thickBot="1" x14ac:dyDescent="0.3">
      <c r="C4133" s="111" t="s">
        <v>328</v>
      </c>
      <c r="D4133" s="112" t="s">
        <v>359</v>
      </c>
      <c r="E4133" s="113" t="s">
        <v>360</v>
      </c>
      <c r="F4133" s="113" t="s">
        <v>330</v>
      </c>
      <c r="G4133" s="114" t="s">
        <v>361</v>
      </c>
      <c r="H4133" s="112" t="s">
        <v>362</v>
      </c>
      <c r="I4133" s="115" t="s">
        <v>363</v>
      </c>
    </row>
    <row r="4134" spans="2:10" ht="15.95" customHeight="1" x14ac:dyDescent="0.25">
      <c r="C4134" s="116" t="s">
        <v>364</v>
      </c>
      <c r="D4134" s="117" t="s">
        <v>365</v>
      </c>
      <c r="E4134" s="118"/>
      <c r="F4134" s="118"/>
      <c r="G4134" s="165"/>
      <c r="H4134" s="144"/>
      <c r="I4134" s="126"/>
    </row>
    <row r="4135" spans="2:10" ht="15.95" customHeight="1" x14ac:dyDescent="0.25">
      <c r="C4135" s="122"/>
      <c r="D4135" s="117" t="s">
        <v>366</v>
      </c>
      <c r="E4135" s="123" t="s">
        <v>367</v>
      </c>
      <c r="F4135" s="123" t="s">
        <v>368</v>
      </c>
      <c r="G4135" s="124">
        <v>0.09</v>
      </c>
      <c r="H4135" s="125">
        <f>VLOOKUP(D4135,Upah,8,FALSE)</f>
        <v>125000</v>
      </c>
      <c r="I4135" s="126">
        <f>G4135*H4135</f>
        <v>11250</v>
      </c>
    </row>
    <row r="4136" spans="2:10" ht="15.95" customHeight="1" x14ac:dyDescent="0.25">
      <c r="C4136" s="122"/>
      <c r="D4136" s="117" t="s">
        <v>505</v>
      </c>
      <c r="E4136" s="123" t="s">
        <v>414</v>
      </c>
      <c r="F4136" s="123" t="s">
        <v>368</v>
      </c>
      <c r="G4136" s="124">
        <v>0.09</v>
      </c>
      <c r="H4136" s="125">
        <f>VLOOKUP(D4136,Upah,8,FALSE)</f>
        <v>150000</v>
      </c>
      <c r="I4136" s="126">
        <f>G4136*H4136</f>
        <v>13500</v>
      </c>
    </row>
    <row r="4137" spans="2:10" ht="15.95" customHeight="1" x14ac:dyDescent="0.25">
      <c r="C4137" s="122"/>
      <c r="D4137" s="117" t="s">
        <v>429</v>
      </c>
      <c r="E4137" s="123" t="s">
        <v>372</v>
      </c>
      <c r="F4137" s="123" t="s">
        <v>368</v>
      </c>
      <c r="G4137" s="124">
        <v>8.9999999999999993E-3</v>
      </c>
      <c r="H4137" s="125">
        <f>VLOOKUP(D4137,Upah,8,FALSE)</f>
        <v>165000</v>
      </c>
      <c r="I4137" s="126">
        <f>G4137*H4137</f>
        <v>1485</v>
      </c>
    </row>
    <row r="4138" spans="2:10" ht="15.95" customHeight="1" thickBot="1" x14ac:dyDescent="0.3">
      <c r="C4138" s="122"/>
      <c r="D4138" s="117" t="s">
        <v>373</v>
      </c>
      <c r="E4138" s="123" t="s">
        <v>374</v>
      </c>
      <c r="F4138" s="123" t="s">
        <v>368</v>
      </c>
      <c r="G4138" s="124">
        <v>5.0000000000000001E-3</v>
      </c>
      <c r="H4138" s="125">
        <f>VLOOKUP(D4138,Upah,8,FALSE)</f>
        <v>170000</v>
      </c>
      <c r="I4138" s="126">
        <f>G4138*H4138</f>
        <v>850</v>
      </c>
    </row>
    <row r="4139" spans="2:10" ht="15.95" customHeight="1" thickBot="1" x14ac:dyDescent="0.3">
      <c r="C4139" s="132"/>
      <c r="D4139" s="133"/>
      <c r="E4139" s="134"/>
      <c r="F4139" s="134"/>
      <c r="G4139" s="135" t="s">
        <v>375</v>
      </c>
      <c r="H4139" s="136"/>
      <c r="I4139" s="137">
        <f>SUM(I4135:I4138)</f>
        <v>27085</v>
      </c>
    </row>
    <row r="4140" spans="2:10" ht="15.95" customHeight="1" x14ac:dyDescent="0.25">
      <c r="C4140" s="116" t="s">
        <v>376</v>
      </c>
      <c r="D4140" s="117" t="s">
        <v>377</v>
      </c>
      <c r="E4140" s="118"/>
      <c r="F4140" s="118"/>
      <c r="G4140" s="165"/>
      <c r="H4140" s="144"/>
      <c r="I4140" s="126"/>
    </row>
    <row r="4141" spans="2:10" ht="15.95" customHeight="1" x14ac:dyDescent="0.25">
      <c r="C4141" s="122"/>
      <c r="D4141" s="117" t="s">
        <v>1035</v>
      </c>
      <c r="E4141" s="118"/>
      <c r="F4141" s="123" t="s">
        <v>418</v>
      </c>
      <c r="G4141" s="124">
        <v>2.65</v>
      </c>
      <c r="H4141" s="144">
        <f>VLOOKUP(D4141,Bahan,6,FALSE)</f>
        <v>18000</v>
      </c>
      <c r="I4141" s="126">
        <f>G4141*H4141</f>
        <v>47700</v>
      </c>
    </row>
    <row r="4142" spans="2:10" ht="15.95" customHeight="1" x14ac:dyDescent="0.25">
      <c r="C4142" s="122"/>
      <c r="D4142" s="117" t="s">
        <v>380</v>
      </c>
      <c r="E4142" s="118"/>
      <c r="F4142" s="123" t="s">
        <v>133</v>
      </c>
      <c r="G4142" s="124">
        <v>1.1399999999999999</v>
      </c>
      <c r="H4142" s="144">
        <f>VLOOKUP(D4142,Bahan,6,FALSE)</f>
        <v>1880</v>
      </c>
      <c r="I4142" s="126">
        <f>G4142*H4142</f>
        <v>2143.1999999999998</v>
      </c>
    </row>
    <row r="4143" spans="2:10" ht="15.95" customHeight="1" x14ac:dyDescent="0.25">
      <c r="C4143" s="122"/>
      <c r="D4143" s="117" t="s">
        <v>960</v>
      </c>
      <c r="E4143" s="118"/>
      <c r="F4143" s="123" t="s">
        <v>159</v>
      </c>
      <c r="G4143" s="124">
        <v>0.1</v>
      </c>
      <c r="H4143" s="144">
        <f>VLOOKUP(D4143,Bahan,6,FALSE)</f>
        <v>2460</v>
      </c>
      <c r="I4143" s="126">
        <f>G4143*H4143</f>
        <v>246</v>
      </c>
    </row>
    <row r="4144" spans="2:10" ht="15.95" customHeight="1" thickBot="1" x14ac:dyDescent="0.3">
      <c r="C4144" s="122"/>
      <c r="D4144" s="117" t="s">
        <v>493</v>
      </c>
      <c r="E4144" s="118"/>
      <c r="F4144" s="123" t="s">
        <v>489</v>
      </c>
      <c r="G4144" s="124">
        <v>3.0000000000000001E-3</v>
      </c>
      <c r="H4144" s="144">
        <f>VLOOKUP(D4144,Bahan,6,FALSE)</f>
        <v>253510</v>
      </c>
      <c r="I4144" s="126">
        <f>G4144*H4144</f>
        <v>760.53</v>
      </c>
    </row>
    <row r="4145" spans="2:10" ht="15.95" customHeight="1" thickBot="1" x14ac:dyDescent="0.3">
      <c r="C4145" s="132"/>
      <c r="D4145" s="133"/>
      <c r="E4145" s="134"/>
      <c r="F4145" s="134"/>
      <c r="G4145" s="135" t="s">
        <v>386</v>
      </c>
      <c r="H4145" s="136"/>
      <c r="I4145" s="137">
        <f>SUM(I4141:I4144)</f>
        <v>50849.729999999996</v>
      </c>
    </row>
    <row r="4146" spans="2:10" ht="15.95" customHeight="1" thickBot="1" x14ac:dyDescent="0.3">
      <c r="C4146" s="116" t="s">
        <v>387</v>
      </c>
      <c r="D4146" s="117" t="s">
        <v>388</v>
      </c>
      <c r="E4146" s="118"/>
      <c r="F4146" s="118"/>
      <c r="G4146" s="165"/>
      <c r="H4146" s="144">
        <f>IF(AND(D4146&lt;&gt;"",F4146&lt;&gt;""),IF(C4146="",IF(F4146="OH",VLOOKUP(D4146,[1]UPAH!$B$3:$G$32,7,0),VLOOKUP(D4146,[1]BAHAN!$A$2:$D$3,4,0)),0),0)</f>
        <v>0</v>
      </c>
      <c r="I4146" s="126">
        <f>G4146*H4146</f>
        <v>0</v>
      </c>
    </row>
    <row r="4147" spans="2:10" ht="15.95" customHeight="1" thickBot="1" x14ac:dyDescent="0.3">
      <c r="C4147" s="132"/>
      <c r="D4147" s="133"/>
      <c r="E4147" s="134"/>
      <c r="F4147" s="134"/>
      <c r="G4147" s="135" t="s">
        <v>389</v>
      </c>
      <c r="H4147" s="136"/>
      <c r="I4147" s="137">
        <f>I4146</f>
        <v>0</v>
      </c>
    </row>
    <row r="4148" spans="2:10" ht="15.95" customHeight="1" x14ac:dyDescent="0.25">
      <c r="C4148" s="158" t="s">
        <v>390</v>
      </c>
      <c r="D4148" s="159" t="s">
        <v>391</v>
      </c>
      <c r="E4148" s="160"/>
      <c r="F4148" s="160"/>
      <c r="G4148" s="161"/>
      <c r="H4148" s="162">
        <f>IF(AND(D4148&lt;&gt;"",F4148&lt;&gt;""),IF(C4148="",IF(F4148="OH",VLOOKUP(D4148,[1]UPAH!$B$3:$G$32,7,0),VLOOKUP(D4148,[1]BAHAN!$A$2:$D$3,4,0)),0),0)</f>
        <v>0</v>
      </c>
      <c r="I4148" s="126">
        <f>SUM(I4135:I4147)/2</f>
        <v>77934.73</v>
      </c>
    </row>
    <row r="4149" spans="2:10" ht="15.95" customHeight="1" thickBot="1" x14ac:dyDescent="0.3">
      <c r="C4149" s="147" t="s">
        <v>392</v>
      </c>
      <c r="D4149" s="148" t="s">
        <v>393</v>
      </c>
      <c r="E4149" s="149"/>
      <c r="F4149" s="149"/>
      <c r="G4149" s="164">
        <v>0.1</v>
      </c>
      <c r="H4149" s="151"/>
      <c r="I4149" s="146">
        <f>G4149*I4148</f>
        <v>7793.473</v>
      </c>
    </row>
    <row r="4150" spans="2:10" ht="15.95" customHeight="1" thickBot="1" x14ac:dyDescent="0.3">
      <c r="C4150" s="111" t="s">
        <v>394</v>
      </c>
      <c r="D4150" s="112" t="s">
        <v>395</v>
      </c>
      <c r="E4150" s="134"/>
      <c r="F4150" s="134"/>
      <c r="G4150" s="156"/>
      <c r="H4150" s="136">
        <f>IF(AND(D4150&lt;&gt;"",F4150&lt;&gt;""),IF(C4150="",IF(F4150="OH",VLOOKUP(D4150,[1]UPAH!$B$3:$G$32,7,0),VLOOKUP(D4150,[1]BAHAN!$A$2:$D$3,4,0)),0),0)</f>
        <v>0</v>
      </c>
      <c r="I4150" s="137">
        <f>ROUNDDOWN(I4148+I4149,0)</f>
        <v>85728</v>
      </c>
    </row>
    <row r="4151" spans="2:10" ht="15.95" customHeight="1" x14ac:dyDescent="0.25">
      <c r="C4151" s="109"/>
      <c r="D4151" s="109"/>
      <c r="G4151" s="157"/>
    </row>
    <row r="4152" spans="2:10" ht="15.95" customHeight="1" thickBot="1" x14ac:dyDescent="0.3">
      <c r="B4152" s="109" t="s">
        <v>1036</v>
      </c>
      <c r="C4152" s="104" t="s">
        <v>1037</v>
      </c>
      <c r="G4152" s="157"/>
      <c r="J4152" s="110">
        <f>I4170</f>
        <v>101210</v>
      </c>
    </row>
    <row r="4153" spans="2:10" ht="15.95" customHeight="1" thickBot="1" x14ac:dyDescent="0.3">
      <c r="C4153" s="111" t="s">
        <v>328</v>
      </c>
      <c r="D4153" s="112" t="s">
        <v>359</v>
      </c>
      <c r="E4153" s="113" t="s">
        <v>360</v>
      </c>
      <c r="F4153" s="113" t="s">
        <v>330</v>
      </c>
      <c r="G4153" s="114" t="s">
        <v>361</v>
      </c>
      <c r="H4153" s="112" t="s">
        <v>362</v>
      </c>
      <c r="I4153" s="115" t="s">
        <v>363</v>
      </c>
    </row>
    <row r="4154" spans="2:10" ht="15.95" customHeight="1" x14ac:dyDescent="0.25">
      <c r="C4154" s="116" t="s">
        <v>364</v>
      </c>
      <c r="D4154" s="117" t="s">
        <v>365</v>
      </c>
      <c r="E4154" s="118"/>
      <c r="F4154" s="118"/>
      <c r="G4154" s="165"/>
      <c r="H4154" s="144"/>
      <c r="I4154" s="126"/>
    </row>
    <row r="4155" spans="2:10" ht="15.95" customHeight="1" x14ac:dyDescent="0.25">
      <c r="C4155" s="122"/>
      <c r="D4155" s="117" t="s">
        <v>366</v>
      </c>
      <c r="E4155" s="123" t="s">
        <v>367</v>
      </c>
      <c r="F4155" s="123" t="s">
        <v>368</v>
      </c>
      <c r="G4155" s="124">
        <v>0.09</v>
      </c>
      <c r="H4155" s="125">
        <f>VLOOKUP(D4155,Upah,8,FALSE)</f>
        <v>125000</v>
      </c>
      <c r="I4155" s="126">
        <f>G4155*H4155</f>
        <v>11250</v>
      </c>
    </row>
    <row r="4156" spans="2:10" ht="15.95" customHeight="1" x14ac:dyDescent="0.25">
      <c r="C4156" s="122"/>
      <c r="D4156" s="117" t="s">
        <v>505</v>
      </c>
      <c r="E4156" s="123" t="s">
        <v>414</v>
      </c>
      <c r="F4156" s="123" t="s">
        <v>368</v>
      </c>
      <c r="G4156" s="124">
        <v>0.09</v>
      </c>
      <c r="H4156" s="125">
        <f>VLOOKUP(D4156,Upah,8,FALSE)</f>
        <v>150000</v>
      </c>
      <c r="I4156" s="126">
        <f>G4156*H4156</f>
        <v>13500</v>
      </c>
    </row>
    <row r="4157" spans="2:10" ht="15.95" customHeight="1" x14ac:dyDescent="0.25">
      <c r="C4157" s="122"/>
      <c r="D4157" s="117" t="s">
        <v>429</v>
      </c>
      <c r="E4157" s="123" t="s">
        <v>372</v>
      </c>
      <c r="F4157" s="123" t="s">
        <v>368</v>
      </c>
      <c r="G4157" s="124">
        <v>8.9999999999999993E-3</v>
      </c>
      <c r="H4157" s="125">
        <f>VLOOKUP(D4157,Upah,8,FALSE)</f>
        <v>165000</v>
      </c>
      <c r="I4157" s="126">
        <f>G4157*H4157</f>
        <v>1485</v>
      </c>
    </row>
    <row r="4158" spans="2:10" ht="15.95" customHeight="1" thickBot="1" x14ac:dyDescent="0.3">
      <c r="C4158" s="122"/>
      <c r="D4158" s="117" t="s">
        <v>373</v>
      </c>
      <c r="E4158" s="123" t="s">
        <v>374</v>
      </c>
      <c r="F4158" s="123" t="s">
        <v>368</v>
      </c>
      <c r="G4158" s="124">
        <v>5.0000000000000001E-3</v>
      </c>
      <c r="H4158" s="125">
        <f>VLOOKUP(D4158,Upah,8,FALSE)</f>
        <v>170000</v>
      </c>
      <c r="I4158" s="126">
        <f>G4158*H4158</f>
        <v>850</v>
      </c>
    </row>
    <row r="4159" spans="2:10" ht="15.95" customHeight="1" thickBot="1" x14ac:dyDescent="0.3">
      <c r="C4159" s="132"/>
      <c r="D4159" s="133"/>
      <c r="E4159" s="134"/>
      <c r="F4159" s="134"/>
      <c r="G4159" s="135" t="s">
        <v>375</v>
      </c>
      <c r="H4159" s="136"/>
      <c r="I4159" s="137">
        <f>SUM(I4155:I4158)</f>
        <v>27085</v>
      </c>
    </row>
    <row r="4160" spans="2:10" ht="15.95" customHeight="1" x14ac:dyDescent="0.25">
      <c r="C4160" s="116" t="s">
        <v>376</v>
      </c>
      <c r="D4160" s="117" t="s">
        <v>377</v>
      </c>
      <c r="E4160" s="118"/>
      <c r="F4160" s="118"/>
      <c r="G4160" s="165"/>
      <c r="H4160" s="144"/>
      <c r="I4160" s="126"/>
    </row>
    <row r="4161" spans="2:10" ht="15.95" customHeight="1" x14ac:dyDescent="0.25">
      <c r="C4161" s="122"/>
      <c r="D4161" s="117" t="s">
        <v>1038</v>
      </c>
      <c r="E4161" s="118"/>
      <c r="F4161" s="123" t="s">
        <v>418</v>
      </c>
      <c r="G4161" s="124">
        <v>3.53</v>
      </c>
      <c r="H4161" s="144">
        <f>VLOOKUP(D4161,Bahan,6,FALSE)</f>
        <v>17500</v>
      </c>
      <c r="I4161" s="126">
        <f>G4161*H4161</f>
        <v>61775</v>
      </c>
    </row>
    <row r="4162" spans="2:10" ht="15.95" customHeight="1" x14ac:dyDescent="0.25">
      <c r="C4162" s="122"/>
      <c r="D4162" s="117" t="s">
        <v>380</v>
      </c>
      <c r="E4162" s="118"/>
      <c r="F4162" s="123" t="s">
        <v>133</v>
      </c>
      <c r="G4162" s="124">
        <v>1.1399999999999999</v>
      </c>
      <c r="H4162" s="144">
        <f>VLOOKUP(D4162,Bahan,6,FALSE)</f>
        <v>1880</v>
      </c>
      <c r="I4162" s="126">
        <f>G4162*H4162</f>
        <v>2143.1999999999998</v>
      </c>
    </row>
    <row r="4163" spans="2:10" ht="15.95" customHeight="1" x14ac:dyDescent="0.25">
      <c r="C4163" s="122"/>
      <c r="D4163" s="117" t="s">
        <v>960</v>
      </c>
      <c r="E4163" s="118"/>
      <c r="F4163" s="123" t="s">
        <v>159</v>
      </c>
      <c r="G4163" s="124">
        <v>0.1</v>
      </c>
      <c r="H4163" s="144">
        <f>VLOOKUP(D4163,Bahan,6,FALSE)</f>
        <v>2460</v>
      </c>
      <c r="I4163" s="126">
        <f>G4163*H4163</f>
        <v>246</v>
      </c>
    </row>
    <row r="4164" spans="2:10" ht="15.95" customHeight="1" thickBot="1" x14ac:dyDescent="0.3">
      <c r="C4164" s="122"/>
      <c r="D4164" s="117" t="s">
        <v>493</v>
      </c>
      <c r="E4164" s="118"/>
      <c r="F4164" s="123" t="s">
        <v>489</v>
      </c>
      <c r="G4164" s="124">
        <v>3.0000000000000001E-3</v>
      </c>
      <c r="H4164" s="144">
        <f>VLOOKUP(D4164,Bahan,6,FALSE)</f>
        <v>253510</v>
      </c>
      <c r="I4164" s="126">
        <f>G4164*H4164</f>
        <v>760.53</v>
      </c>
    </row>
    <row r="4165" spans="2:10" ht="15.95" customHeight="1" thickBot="1" x14ac:dyDescent="0.3">
      <c r="C4165" s="132"/>
      <c r="D4165" s="133"/>
      <c r="E4165" s="134"/>
      <c r="F4165" s="134"/>
      <c r="G4165" s="135" t="s">
        <v>386</v>
      </c>
      <c r="H4165" s="136"/>
      <c r="I4165" s="137">
        <f>SUM(I4161:I4164)</f>
        <v>64924.729999999996</v>
      </c>
    </row>
    <row r="4166" spans="2:10" ht="15.95" customHeight="1" thickBot="1" x14ac:dyDescent="0.3">
      <c r="C4166" s="116" t="s">
        <v>387</v>
      </c>
      <c r="D4166" s="117" t="s">
        <v>388</v>
      </c>
      <c r="E4166" s="118"/>
      <c r="F4166" s="118"/>
      <c r="G4166" s="165"/>
      <c r="H4166" s="144">
        <f>IF(AND(D4166&lt;&gt;"",F4166&lt;&gt;""),IF(C4166="",IF(F4166="OH",VLOOKUP(D4166,[1]UPAH!$B$3:$G$32,7,0),VLOOKUP(D4166,[1]BAHAN!$A$2:$D$3,4,0)),0),0)</f>
        <v>0</v>
      </c>
      <c r="I4166" s="126">
        <f>G4166*H4166</f>
        <v>0</v>
      </c>
    </row>
    <row r="4167" spans="2:10" ht="15.95" customHeight="1" thickBot="1" x14ac:dyDescent="0.3">
      <c r="C4167" s="132"/>
      <c r="D4167" s="133"/>
      <c r="E4167" s="134"/>
      <c r="F4167" s="134"/>
      <c r="G4167" s="135" t="s">
        <v>389</v>
      </c>
      <c r="H4167" s="136"/>
      <c r="I4167" s="137">
        <f>I4166</f>
        <v>0</v>
      </c>
    </row>
    <row r="4168" spans="2:10" ht="15.95" customHeight="1" x14ac:dyDescent="0.25">
      <c r="C4168" s="158" t="s">
        <v>390</v>
      </c>
      <c r="D4168" s="159" t="s">
        <v>391</v>
      </c>
      <c r="E4168" s="160"/>
      <c r="F4168" s="160"/>
      <c r="G4168" s="161"/>
      <c r="H4168" s="162">
        <f>IF(AND(D4168&lt;&gt;"",F4168&lt;&gt;""),IF(C4168="",IF(F4168="OH",VLOOKUP(D4168,[1]UPAH!$B$3:$G$32,7,0),VLOOKUP(D4168,[1]BAHAN!$A$2:$D$3,4,0)),0),0)</f>
        <v>0</v>
      </c>
      <c r="I4168" s="126">
        <f>SUM(I4155:I4167)/2</f>
        <v>92009.73</v>
      </c>
    </row>
    <row r="4169" spans="2:10" ht="15.95" customHeight="1" thickBot="1" x14ac:dyDescent="0.3">
      <c r="C4169" s="147" t="s">
        <v>392</v>
      </c>
      <c r="D4169" s="148" t="s">
        <v>393</v>
      </c>
      <c r="E4169" s="149"/>
      <c r="F4169" s="149"/>
      <c r="G4169" s="164">
        <v>0.1</v>
      </c>
      <c r="H4169" s="151"/>
      <c r="I4169" s="146">
        <f>G4169*I4168</f>
        <v>9200.973</v>
      </c>
    </row>
    <row r="4170" spans="2:10" ht="15.95" customHeight="1" thickBot="1" x14ac:dyDescent="0.3">
      <c r="C4170" s="111" t="s">
        <v>394</v>
      </c>
      <c r="D4170" s="112" t="s">
        <v>395</v>
      </c>
      <c r="E4170" s="134"/>
      <c r="F4170" s="134"/>
      <c r="G4170" s="156"/>
      <c r="H4170" s="136">
        <f>IF(AND(D4170&lt;&gt;"",F4170&lt;&gt;""),IF(C4170="",IF(F4170="OH",VLOOKUP(D4170,[1]UPAH!$B$3:$G$32,7,0),VLOOKUP(D4170,[1]BAHAN!$A$2:$D$3,4,0)),0),0)</f>
        <v>0</v>
      </c>
      <c r="I4170" s="137">
        <f>ROUNDDOWN(I4168+I4169,0)</f>
        <v>101210</v>
      </c>
    </row>
    <row r="4171" spans="2:10" ht="15.95" customHeight="1" x14ac:dyDescent="0.25">
      <c r="C4171" s="109"/>
      <c r="D4171" s="109"/>
      <c r="G4171" s="157"/>
    </row>
    <row r="4172" spans="2:10" ht="15.95" customHeight="1" thickBot="1" x14ac:dyDescent="0.3">
      <c r="B4172" s="109" t="s">
        <v>1039</v>
      </c>
      <c r="C4172" s="104" t="s">
        <v>1040</v>
      </c>
      <c r="G4172" s="157"/>
      <c r="J4172" s="110">
        <f>I4188</f>
        <v>86317</v>
      </c>
    </row>
    <row r="4173" spans="2:10" ht="15.95" customHeight="1" thickBot="1" x14ac:dyDescent="0.3">
      <c r="C4173" s="111" t="s">
        <v>328</v>
      </c>
      <c r="D4173" s="112" t="s">
        <v>359</v>
      </c>
      <c r="E4173" s="113" t="s">
        <v>360</v>
      </c>
      <c r="F4173" s="113" t="s">
        <v>330</v>
      </c>
      <c r="G4173" s="114" t="s">
        <v>361</v>
      </c>
      <c r="H4173" s="112" t="s">
        <v>362</v>
      </c>
      <c r="I4173" s="115" t="s">
        <v>363</v>
      </c>
    </row>
    <row r="4174" spans="2:10" ht="15.95" customHeight="1" x14ac:dyDescent="0.25">
      <c r="C4174" s="116" t="s">
        <v>364</v>
      </c>
      <c r="D4174" s="117" t="s">
        <v>365</v>
      </c>
      <c r="E4174" s="118"/>
      <c r="F4174" s="118"/>
      <c r="G4174" s="165"/>
      <c r="H4174" s="144"/>
      <c r="I4174" s="126"/>
    </row>
    <row r="4175" spans="2:10" ht="15.95" customHeight="1" x14ac:dyDescent="0.25">
      <c r="C4175" s="122"/>
      <c r="D4175" s="117" t="s">
        <v>366</v>
      </c>
      <c r="E4175" s="123" t="s">
        <v>367</v>
      </c>
      <c r="F4175" s="123" t="s">
        <v>368</v>
      </c>
      <c r="G4175" s="124">
        <v>0.36</v>
      </c>
      <c r="H4175" s="125">
        <f>VLOOKUP(D4175,Upah,8,FALSE)</f>
        <v>125000</v>
      </c>
      <c r="I4175" s="126">
        <f>G4175*H4175</f>
        <v>45000</v>
      </c>
    </row>
    <row r="4176" spans="2:10" ht="15.95" customHeight="1" x14ac:dyDescent="0.25">
      <c r="C4176" s="122"/>
      <c r="D4176" s="117" t="s">
        <v>505</v>
      </c>
      <c r="E4176" s="123" t="s">
        <v>414</v>
      </c>
      <c r="F4176" s="123" t="s">
        <v>368</v>
      </c>
      <c r="G4176" s="124">
        <v>0.18</v>
      </c>
      <c r="H4176" s="125">
        <f>VLOOKUP(D4176,Upah,8,FALSE)</f>
        <v>150000</v>
      </c>
      <c r="I4176" s="126">
        <f>G4176*H4176</f>
        <v>27000</v>
      </c>
    </row>
    <row r="4177" spans="2:10" ht="15.95" customHeight="1" x14ac:dyDescent="0.25">
      <c r="C4177" s="122"/>
      <c r="D4177" s="117" t="s">
        <v>429</v>
      </c>
      <c r="E4177" s="123" t="s">
        <v>372</v>
      </c>
      <c r="F4177" s="123" t="s">
        <v>368</v>
      </c>
      <c r="G4177" s="124">
        <v>1.7999999999999999E-2</v>
      </c>
      <c r="H4177" s="125">
        <f>VLOOKUP(D4177,Upah,8,FALSE)</f>
        <v>165000</v>
      </c>
      <c r="I4177" s="126">
        <f>G4177*H4177</f>
        <v>2970</v>
      </c>
    </row>
    <row r="4178" spans="2:10" ht="15.95" customHeight="1" thickBot="1" x14ac:dyDescent="0.3">
      <c r="C4178" s="122"/>
      <c r="D4178" s="117" t="s">
        <v>373</v>
      </c>
      <c r="E4178" s="123" t="s">
        <v>374</v>
      </c>
      <c r="F4178" s="123" t="s">
        <v>368</v>
      </c>
      <c r="G4178" s="124">
        <v>1.7999999999999999E-2</v>
      </c>
      <c r="H4178" s="125">
        <f>VLOOKUP(D4178,Upah,8,FALSE)</f>
        <v>170000</v>
      </c>
      <c r="I4178" s="126">
        <f>G4178*H4178</f>
        <v>3059.9999999999995</v>
      </c>
    </row>
    <row r="4179" spans="2:10" ht="15.95" customHeight="1" thickBot="1" x14ac:dyDescent="0.3">
      <c r="C4179" s="132"/>
      <c r="D4179" s="133"/>
      <c r="E4179" s="134"/>
      <c r="F4179" s="134"/>
      <c r="G4179" s="135" t="s">
        <v>375</v>
      </c>
      <c r="H4179" s="136"/>
      <c r="I4179" s="137">
        <f>SUM(I4175:I4178)</f>
        <v>78030</v>
      </c>
    </row>
    <row r="4180" spans="2:10" ht="15.95" customHeight="1" x14ac:dyDescent="0.25">
      <c r="C4180" s="116" t="s">
        <v>376</v>
      </c>
      <c r="D4180" s="117" t="s">
        <v>377</v>
      </c>
      <c r="E4180" s="118"/>
      <c r="F4180" s="118"/>
      <c r="G4180" s="165"/>
      <c r="H4180" s="144"/>
      <c r="I4180" s="126"/>
    </row>
    <row r="4181" spans="2:10" ht="15.95" customHeight="1" x14ac:dyDescent="0.25">
      <c r="C4181" s="122"/>
      <c r="D4181" s="117" t="s">
        <v>1041</v>
      </c>
      <c r="E4181" s="118"/>
      <c r="F4181" s="123" t="s">
        <v>489</v>
      </c>
      <c r="G4181" s="124">
        <v>3.5999999999999997E-2</v>
      </c>
      <c r="H4181" s="144">
        <f>VLOOKUP(D4181,Bahan,6,FALSE)</f>
        <v>5400</v>
      </c>
      <c r="I4181" s="126">
        <f>G4181*H4181</f>
        <v>194.39999999999998</v>
      </c>
    </row>
    <row r="4182" spans="2:10" ht="15.95" customHeight="1" thickBot="1" x14ac:dyDescent="0.3">
      <c r="C4182" s="122"/>
      <c r="D4182" s="117" t="s">
        <v>1042</v>
      </c>
      <c r="E4182" s="118"/>
      <c r="F4182" s="123" t="s">
        <v>159</v>
      </c>
      <c r="G4182" s="124">
        <v>0.1</v>
      </c>
      <c r="H4182" s="144">
        <f>VLOOKUP(D4182,Bahan,6,FALSE)</f>
        <v>2460</v>
      </c>
      <c r="I4182" s="126">
        <f>G4182*H4182</f>
        <v>246</v>
      </c>
    </row>
    <row r="4183" spans="2:10" ht="15.95" customHeight="1" thickBot="1" x14ac:dyDescent="0.3">
      <c r="C4183" s="132"/>
      <c r="D4183" s="133"/>
      <c r="E4183" s="134"/>
      <c r="F4183" s="134"/>
      <c r="G4183" s="135" t="s">
        <v>386</v>
      </c>
      <c r="H4183" s="136"/>
      <c r="I4183" s="137">
        <f>SUM(I4181:I4182)</f>
        <v>440.4</v>
      </c>
    </row>
    <row r="4184" spans="2:10" ht="15.95" customHeight="1" thickBot="1" x14ac:dyDescent="0.3">
      <c r="C4184" s="116" t="s">
        <v>387</v>
      </c>
      <c r="D4184" s="117" t="s">
        <v>388</v>
      </c>
      <c r="E4184" s="118"/>
      <c r="F4184" s="118"/>
      <c r="G4184" s="165"/>
      <c r="H4184" s="144">
        <f>IF(AND(D4184&lt;&gt;"",F4184&lt;&gt;""),IF(C4184="",IF(F4184="OH",VLOOKUP(D4184,[1]UPAH!$B$3:$G$32,7,0),VLOOKUP(D4184,[1]BAHAN!$A$2:$D$3,4,0)),0),0)</f>
        <v>0</v>
      </c>
      <c r="I4184" s="126">
        <f>G4184*H4184</f>
        <v>0</v>
      </c>
    </row>
    <row r="4185" spans="2:10" ht="15.95" customHeight="1" thickBot="1" x14ac:dyDescent="0.3">
      <c r="C4185" s="132"/>
      <c r="D4185" s="133"/>
      <c r="E4185" s="134"/>
      <c r="F4185" s="134"/>
      <c r="G4185" s="135" t="s">
        <v>389</v>
      </c>
      <c r="H4185" s="136"/>
      <c r="I4185" s="137">
        <f>I4184</f>
        <v>0</v>
      </c>
    </row>
    <row r="4186" spans="2:10" ht="15.95" customHeight="1" x14ac:dyDescent="0.25">
      <c r="C4186" s="158" t="s">
        <v>390</v>
      </c>
      <c r="D4186" s="159" t="s">
        <v>391</v>
      </c>
      <c r="E4186" s="160"/>
      <c r="F4186" s="160"/>
      <c r="G4186" s="161"/>
      <c r="H4186" s="162">
        <f>IF(AND(D4186&lt;&gt;"",F4186&lt;&gt;""),IF(C4186="",IF(F4186="OH",VLOOKUP(D4186,[1]UPAH!$B$3:$G$32,7,0),VLOOKUP(D4186,[1]BAHAN!$A$2:$D$3,4,0)),0),0)</f>
        <v>0</v>
      </c>
      <c r="I4186" s="126">
        <f>SUM(I4175:I4185)/2</f>
        <v>78470.399999999994</v>
      </c>
    </row>
    <row r="4187" spans="2:10" ht="15.95" customHeight="1" thickBot="1" x14ac:dyDescent="0.3">
      <c r="C4187" s="147" t="s">
        <v>392</v>
      </c>
      <c r="D4187" s="148" t="s">
        <v>393</v>
      </c>
      <c r="E4187" s="149"/>
      <c r="F4187" s="149"/>
      <c r="G4187" s="164">
        <v>0.1</v>
      </c>
      <c r="H4187" s="151"/>
      <c r="I4187" s="146">
        <f>G4187*I4186</f>
        <v>7847.04</v>
      </c>
    </row>
    <row r="4188" spans="2:10" ht="15.95" customHeight="1" thickBot="1" x14ac:dyDescent="0.3">
      <c r="C4188" s="111" t="s">
        <v>394</v>
      </c>
      <c r="D4188" s="112" t="s">
        <v>395</v>
      </c>
      <c r="E4188" s="134"/>
      <c r="F4188" s="134"/>
      <c r="G4188" s="156"/>
      <c r="H4188" s="136">
        <f>IF(AND(D4188&lt;&gt;"",F4188&lt;&gt;""),IF(C4188="",IF(F4188="OH",VLOOKUP(D4188,[1]UPAH!$B$3:$G$32,7,0),VLOOKUP(D4188,[1]BAHAN!$A$2:$D$3,4,0)),0),0)</f>
        <v>0</v>
      </c>
      <c r="I4188" s="137">
        <f>ROUNDDOWN(I4186+I4187,0)</f>
        <v>86317</v>
      </c>
    </row>
    <row r="4189" spans="2:10" ht="15.95" customHeight="1" x14ac:dyDescent="0.25">
      <c r="C4189" s="109"/>
      <c r="D4189" s="109"/>
      <c r="G4189" s="157"/>
    </row>
    <row r="4190" spans="2:10" ht="15.95" customHeight="1" thickBot="1" x14ac:dyDescent="0.3">
      <c r="B4190" s="109" t="s">
        <v>1043</v>
      </c>
      <c r="C4190" s="104" t="s">
        <v>1044</v>
      </c>
      <c r="G4190" s="157"/>
      <c r="J4190" s="110">
        <f>I4208</f>
        <v>314594</v>
      </c>
    </row>
    <row r="4191" spans="2:10" ht="15.95" customHeight="1" thickBot="1" x14ac:dyDescent="0.3">
      <c r="C4191" s="111" t="s">
        <v>328</v>
      </c>
      <c r="D4191" s="112" t="s">
        <v>359</v>
      </c>
      <c r="E4191" s="113" t="s">
        <v>360</v>
      </c>
      <c r="F4191" s="113" t="s">
        <v>330</v>
      </c>
      <c r="G4191" s="114" t="s">
        <v>361</v>
      </c>
      <c r="H4191" s="112" t="s">
        <v>362</v>
      </c>
      <c r="I4191" s="115" t="s">
        <v>363</v>
      </c>
    </row>
    <row r="4192" spans="2:10" ht="15.95" customHeight="1" x14ac:dyDescent="0.25">
      <c r="C4192" s="116" t="s">
        <v>364</v>
      </c>
      <c r="D4192" s="117" t="s">
        <v>365</v>
      </c>
      <c r="E4192" s="118"/>
      <c r="F4192" s="118"/>
      <c r="G4192" s="165"/>
      <c r="H4192" s="144"/>
      <c r="I4192" s="126"/>
    </row>
    <row r="4193" spans="3:9" ht="15.95" customHeight="1" x14ac:dyDescent="0.25">
      <c r="C4193" s="122"/>
      <c r="D4193" s="117" t="s">
        <v>366</v>
      </c>
      <c r="E4193" s="123" t="s">
        <v>367</v>
      </c>
      <c r="F4193" s="123" t="s">
        <v>368</v>
      </c>
      <c r="G4193" s="124">
        <v>0.7</v>
      </c>
      <c r="H4193" s="125">
        <f>VLOOKUP(D4193,Upah,8,FALSE)</f>
        <v>125000</v>
      </c>
      <c r="I4193" s="126">
        <f>G4193*H4193</f>
        <v>87500</v>
      </c>
    </row>
    <row r="4194" spans="3:9" ht="15.95" customHeight="1" x14ac:dyDescent="0.25">
      <c r="C4194" s="122"/>
      <c r="D4194" s="117" t="s">
        <v>505</v>
      </c>
      <c r="E4194" s="123" t="s">
        <v>414</v>
      </c>
      <c r="F4194" s="123" t="s">
        <v>368</v>
      </c>
      <c r="G4194" s="124">
        <v>0.35</v>
      </c>
      <c r="H4194" s="125">
        <f>VLOOKUP(D4194,Upah,8,FALSE)</f>
        <v>150000</v>
      </c>
      <c r="I4194" s="126">
        <f>G4194*H4194</f>
        <v>52500</v>
      </c>
    </row>
    <row r="4195" spans="3:9" ht="15.95" customHeight="1" x14ac:dyDescent="0.25">
      <c r="C4195" s="122"/>
      <c r="D4195" s="117" t="s">
        <v>429</v>
      </c>
      <c r="E4195" s="123" t="s">
        <v>372</v>
      </c>
      <c r="F4195" s="123" t="s">
        <v>368</v>
      </c>
      <c r="G4195" s="124">
        <v>3.5000000000000003E-2</v>
      </c>
      <c r="H4195" s="125">
        <f>VLOOKUP(D4195,Upah,8,FALSE)</f>
        <v>165000</v>
      </c>
      <c r="I4195" s="126">
        <f>G4195*H4195</f>
        <v>5775.0000000000009</v>
      </c>
    </row>
    <row r="4196" spans="3:9" ht="15.95" customHeight="1" thickBot="1" x14ac:dyDescent="0.3">
      <c r="C4196" s="122"/>
      <c r="D4196" s="117" t="s">
        <v>373</v>
      </c>
      <c r="E4196" s="123" t="s">
        <v>374</v>
      </c>
      <c r="F4196" s="123" t="s">
        <v>368</v>
      </c>
      <c r="G4196" s="124">
        <v>3.5000000000000003E-2</v>
      </c>
      <c r="H4196" s="125">
        <f>VLOOKUP(D4196,Upah,8,FALSE)</f>
        <v>170000</v>
      </c>
      <c r="I4196" s="126">
        <f>G4196*H4196</f>
        <v>5950.0000000000009</v>
      </c>
    </row>
    <row r="4197" spans="3:9" ht="15.95" customHeight="1" thickBot="1" x14ac:dyDescent="0.3">
      <c r="C4197" s="132"/>
      <c r="D4197" s="133"/>
      <c r="E4197" s="134"/>
      <c r="F4197" s="134"/>
      <c r="G4197" s="135" t="s">
        <v>375</v>
      </c>
      <c r="H4197" s="136"/>
      <c r="I4197" s="137">
        <f>SUM(I4193:I4196)</f>
        <v>151725</v>
      </c>
    </row>
    <row r="4198" spans="3:9" ht="15.95" customHeight="1" x14ac:dyDescent="0.25">
      <c r="C4198" s="116" t="s">
        <v>376</v>
      </c>
      <c r="D4198" s="117" t="s">
        <v>377</v>
      </c>
      <c r="E4198" s="118"/>
      <c r="F4198" s="118"/>
      <c r="G4198" s="165"/>
      <c r="H4198" s="144"/>
      <c r="I4198" s="126"/>
    </row>
    <row r="4199" spans="3:9" ht="15.95" customHeight="1" x14ac:dyDescent="0.25">
      <c r="C4199" s="122"/>
      <c r="D4199" s="117" t="s">
        <v>1045</v>
      </c>
      <c r="E4199" s="118"/>
      <c r="F4199" s="123" t="s">
        <v>418</v>
      </c>
      <c r="G4199" s="124">
        <v>53</v>
      </c>
      <c r="H4199" s="144">
        <f>VLOOKUP(D4199,Bahan,6,FALSE)</f>
        <v>1900</v>
      </c>
      <c r="I4199" s="126">
        <f>G4199*H4199</f>
        <v>100700</v>
      </c>
    </row>
    <row r="4200" spans="3:9" ht="15.95" customHeight="1" x14ac:dyDescent="0.25">
      <c r="C4200" s="122"/>
      <c r="D4200" s="117" t="s">
        <v>380</v>
      </c>
      <c r="E4200" s="118"/>
      <c r="F4200" s="123" t="s">
        <v>159</v>
      </c>
      <c r="G4200" s="124">
        <v>8.19</v>
      </c>
      <c r="H4200" s="144">
        <f>VLOOKUP(D4200,Bahan,6,FALSE)</f>
        <v>1880</v>
      </c>
      <c r="I4200" s="126">
        <f>G4200*H4200</f>
        <v>15397.199999999999</v>
      </c>
    </row>
    <row r="4201" spans="3:9" ht="15.95" customHeight="1" x14ac:dyDescent="0.25">
      <c r="C4201" s="122"/>
      <c r="D4201" s="117" t="s">
        <v>416</v>
      </c>
      <c r="E4201" s="118"/>
      <c r="F4201" s="123" t="s">
        <v>489</v>
      </c>
      <c r="G4201" s="124">
        <v>4.4999999999999998E-2</v>
      </c>
      <c r="H4201" s="144">
        <f>VLOOKUP(D4201,Bahan,6,FALSE)</f>
        <v>253510</v>
      </c>
      <c r="I4201" s="126">
        <f>G4201*H4201</f>
        <v>11407.949999999999</v>
      </c>
    </row>
    <row r="4202" spans="3:9" ht="15.95" customHeight="1" thickBot="1" x14ac:dyDescent="0.3">
      <c r="C4202" s="122"/>
      <c r="D4202" s="117" t="s">
        <v>1042</v>
      </c>
      <c r="E4202" s="118"/>
      <c r="F4202" s="123" t="s">
        <v>159</v>
      </c>
      <c r="G4202" s="124">
        <v>2.75</v>
      </c>
      <c r="H4202" s="144">
        <f>VLOOKUP(D4202,Bahan,6,FALSE)</f>
        <v>2460</v>
      </c>
      <c r="I4202" s="126">
        <f>G4202*H4202</f>
        <v>6765</v>
      </c>
    </row>
    <row r="4203" spans="3:9" ht="15.95" customHeight="1" thickBot="1" x14ac:dyDescent="0.3">
      <c r="C4203" s="132"/>
      <c r="D4203" s="133"/>
      <c r="E4203" s="134"/>
      <c r="F4203" s="134"/>
      <c r="G4203" s="135" t="s">
        <v>386</v>
      </c>
      <c r="H4203" s="136"/>
      <c r="I4203" s="137">
        <f>SUM(I4199:I4202)</f>
        <v>134270.15</v>
      </c>
    </row>
    <row r="4204" spans="3:9" ht="15.95" customHeight="1" thickBot="1" x14ac:dyDescent="0.3">
      <c r="C4204" s="116" t="s">
        <v>387</v>
      </c>
      <c r="D4204" s="117" t="s">
        <v>388</v>
      </c>
      <c r="E4204" s="118"/>
      <c r="F4204" s="118"/>
      <c r="G4204" s="165"/>
      <c r="H4204" s="144">
        <f>IF(AND(D4204&lt;&gt;"",F4204&lt;&gt;""),IF(C4204="",IF(F4204="OH",VLOOKUP(D4204,[1]UPAH!$B$3:$G$32,7,0),VLOOKUP(D4204,[1]BAHAN!$A$2:$D$3,4,0)),0),0)</f>
        <v>0</v>
      </c>
      <c r="I4204" s="126">
        <f>G4204*H4204</f>
        <v>0</v>
      </c>
    </row>
    <row r="4205" spans="3:9" ht="15.95" customHeight="1" thickBot="1" x14ac:dyDescent="0.3">
      <c r="C4205" s="132"/>
      <c r="D4205" s="133"/>
      <c r="E4205" s="134"/>
      <c r="F4205" s="134"/>
      <c r="G4205" s="135" t="s">
        <v>389</v>
      </c>
      <c r="H4205" s="136"/>
      <c r="I4205" s="137">
        <f>I4204</f>
        <v>0</v>
      </c>
    </row>
    <row r="4206" spans="3:9" ht="15.95" customHeight="1" x14ac:dyDescent="0.25">
      <c r="C4206" s="158" t="s">
        <v>390</v>
      </c>
      <c r="D4206" s="159" t="s">
        <v>391</v>
      </c>
      <c r="E4206" s="160"/>
      <c r="F4206" s="160"/>
      <c r="G4206" s="161"/>
      <c r="H4206" s="162">
        <f>IF(AND(D4206&lt;&gt;"",F4206&lt;&gt;""),IF(C4206="",IF(F4206="OH",VLOOKUP(D4206,[1]UPAH!$B$3:$G$32,7,0),VLOOKUP(D4206,[1]BAHAN!$A$2:$D$3,4,0)),0),0)</f>
        <v>0</v>
      </c>
      <c r="I4206" s="126">
        <f>SUM(I4193:I4205)/2</f>
        <v>285995.15000000002</v>
      </c>
    </row>
    <row r="4207" spans="3:9" ht="15.95" customHeight="1" thickBot="1" x14ac:dyDescent="0.3">
      <c r="C4207" s="147" t="s">
        <v>392</v>
      </c>
      <c r="D4207" s="148" t="s">
        <v>393</v>
      </c>
      <c r="E4207" s="149"/>
      <c r="F4207" s="149"/>
      <c r="G4207" s="164">
        <v>0.1</v>
      </c>
      <c r="H4207" s="151"/>
      <c r="I4207" s="146">
        <f>G4207*I4206</f>
        <v>28599.515000000003</v>
      </c>
    </row>
    <row r="4208" spans="3:9" ht="15.95" customHeight="1" thickBot="1" x14ac:dyDescent="0.3">
      <c r="C4208" s="111" t="s">
        <v>394</v>
      </c>
      <c r="D4208" s="112" t="s">
        <v>395</v>
      </c>
      <c r="E4208" s="134"/>
      <c r="F4208" s="134"/>
      <c r="G4208" s="156"/>
      <c r="H4208" s="136">
        <f>IF(AND(D4208&lt;&gt;"",F4208&lt;&gt;""),IF(C4208="",IF(F4208="OH",VLOOKUP(D4208,[1]UPAH!$B$3:$G$32,7,0),VLOOKUP(D4208,[1]BAHAN!$A$2:$D$3,4,0)),0),0)</f>
        <v>0</v>
      </c>
      <c r="I4208" s="137">
        <f>ROUNDDOWN(I4206+I4207,0)</f>
        <v>314594</v>
      </c>
    </row>
    <row r="4209" spans="2:10" ht="15.95" customHeight="1" x14ac:dyDescent="0.25">
      <c r="C4209" s="109"/>
      <c r="D4209" s="109"/>
      <c r="G4209" s="157"/>
    </row>
    <row r="4210" spans="2:10" ht="15.95" customHeight="1" thickBot="1" x14ac:dyDescent="0.3">
      <c r="B4210" s="109" t="s">
        <v>1046</v>
      </c>
      <c r="C4210" s="104" t="s">
        <v>1047</v>
      </c>
      <c r="G4210" s="157"/>
      <c r="J4210" s="110">
        <f>I4228</f>
        <v>426582</v>
      </c>
    </row>
    <row r="4211" spans="2:10" ht="15.95" customHeight="1" thickBot="1" x14ac:dyDescent="0.3">
      <c r="C4211" s="111" t="s">
        <v>328</v>
      </c>
      <c r="D4211" s="112" t="s">
        <v>359</v>
      </c>
      <c r="E4211" s="113" t="s">
        <v>360</v>
      </c>
      <c r="F4211" s="113" t="s">
        <v>330</v>
      </c>
      <c r="G4211" s="114" t="s">
        <v>361</v>
      </c>
      <c r="H4211" s="112" t="s">
        <v>362</v>
      </c>
      <c r="I4211" s="115" t="s">
        <v>363</v>
      </c>
    </row>
    <row r="4212" spans="2:10" ht="15.95" customHeight="1" x14ac:dyDescent="0.25">
      <c r="C4212" s="116" t="s">
        <v>364</v>
      </c>
      <c r="D4212" s="117" t="s">
        <v>365</v>
      </c>
      <c r="E4212" s="118"/>
      <c r="F4212" s="118"/>
      <c r="G4212" s="165"/>
      <c r="H4212" s="144"/>
      <c r="I4212" s="126"/>
    </row>
    <row r="4213" spans="2:10" ht="15.95" customHeight="1" x14ac:dyDescent="0.25">
      <c r="C4213" s="122"/>
      <c r="D4213" s="117" t="s">
        <v>366</v>
      </c>
      <c r="E4213" s="123" t="s">
        <v>367</v>
      </c>
      <c r="F4213" s="123" t="s">
        <v>368</v>
      </c>
      <c r="G4213" s="124">
        <v>0.7</v>
      </c>
      <c r="H4213" s="125">
        <f>VLOOKUP(D4213,Upah,8,FALSE)</f>
        <v>125000</v>
      </c>
      <c r="I4213" s="126">
        <f>G4213*H4213</f>
        <v>87500</v>
      </c>
    </row>
    <row r="4214" spans="2:10" ht="15.95" customHeight="1" x14ac:dyDescent="0.25">
      <c r="C4214" s="122"/>
      <c r="D4214" s="117" t="s">
        <v>505</v>
      </c>
      <c r="E4214" s="123" t="s">
        <v>414</v>
      </c>
      <c r="F4214" s="123" t="s">
        <v>368</v>
      </c>
      <c r="G4214" s="124">
        <v>0.35</v>
      </c>
      <c r="H4214" s="125">
        <f>VLOOKUP(D4214,Upah,8,FALSE)</f>
        <v>150000</v>
      </c>
      <c r="I4214" s="126">
        <f>G4214*H4214</f>
        <v>52500</v>
      </c>
    </row>
    <row r="4215" spans="2:10" ht="15.95" customHeight="1" x14ac:dyDescent="0.25">
      <c r="C4215" s="122"/>
      <c r="D4215" s="117" t="s">
        <v>429</v>
      </c>
      <c r="E4215" s="123" t="s">
        <v>372</v>
      </c>
      <c r="F4215" s="123" t="s">
        <v>368</v>
      </c>
      <c r="G4215" s="124">
        <v>3.5000000000000003E-2</v>
      </c>
      <c r="H4215" s="125">
        <f>VLOOKUP(D4215,Upah,8,FALSE)</f>
        <v>165000</v>
      </c>
      <c r="I4215" s="126">
        <f>G4215*H4215</f>
        <v>5775.0000000000009</v>
      </c>
    </row>
    <row r="4216" spans="2:10" ht="15.95" customHeight="1" thickBot="1" x14ac:dyDescent="0.3">
      <c r="C4216" s="122"/>
      <c r="D4216" s="117" t="s">
        <v>373</v>
      </c>
      <c r="E4216" s="123" t="s">
        <v>374</v>
      </c>
      <c r="F4216" s="123" t="s">
        <v>368</v>
      </c>
      <c r="G4216" s="124">
        <v>3.5000000000000003E-2</v>
      </c>
      <c r="H4216" s="125">
        <f>VLOOKUP(D4216,Upah,8,FALSE)</f>
        <v>170000</v>
      </c>
      <c r="I4216" s="126">
        <f>G4216*H4216</f>
        <v>5950.0000000000009</v>
      </c>
    </row>
    <row r="4217" spans="2:10" ht="15.95" customHeight="1" thickBot="1" x14ac:dyDescent="0.3">
      <c r="C4217" s="132"/>
      <c r="D4217" s="133"/>
      <c r="E4217" s="134"/>
      <c r="F4217" s="134"/>
      <c r="G4217" s="135" t="s">
        <v>375</v>
      </c>
      <c r="H4217" s="136"/>
      <c r="I4217" s="137">
        <f>SUM(I4213:I4216)</f>
        <v>151725</v>
      </c>
    </row>
    <row r="4218" spans="2:10" ht="15.95" customHeight="1" x14ac:dyDescent="0.25">
      <c r="C4218" s="116" t="s">
        <v>376</v>
      </c>
      <c r="D4218" s="117" t="s">
        <v>377</v>
      </c>
      <c r="E4218" s="118"/>
      <c r="F4218" s="118"/>
      <c r="G4218" s="165"/>
      <c r="H4218" s="144"/>
      <c r="I4218" s="126"/>
    </row>
    <row r="4219" spans="2:10" ht="15.95" customHeight="1" x14ac:dyDescent="0.25">
      <c r="C4219" s="122"/>
      <c r="D4219" s="117" t="s">
        <v>1048</v>
      </c>
      <c r="E4219" s="118"/>
      <c r="F4219" s="123" t="s">
        <v>418</v>
      </c>
      <c r="G4219" s="124">
        <v>106</v>
      </c>
      <c r="H4219" s="144">
        <f>VLOOKUP(D4219,Bahan,6,FALSE)</f>
        <v>1900</v>
      </c>
      <c r="I4219" s="126">
        <f>G4219*H4219</f>
        <v>201400</v>
      </c>
    </row>
    <row r="4220" spans="2:10" ht="15.95" customHeight="1" x14ac:dyDescent="0.25">
      <c r="C4220" s="122"/>
      <c r="D4220" s="117" t="s">
        <v>380</v>
      </c>
      <c r="E4220" s="118"/>
      <c r="F4220" s="123" t="s">
        <v>159</v>
      </c>
      <c r="G4220" s="124">
        <v>8.19</v>
      </c>
      <c r="H4220" s="144">
        <f>VLOOKUP(D4220,Bahan,6,FALSE)</f>
        <v>1880</v>
      </c>
      <c r="I4220" s="126">
        <f>G4220*H4220</f>
        <v>15397.199999999999</v>
      </c>
    </row>
    <row r="4221" spans="2:10" ht="15.95" customHeight="1" x14ac:dyDescent="0.25">
      <c r="C4221" s="122"/>
      <c r="D4221" s="117" t="s">
        <v>493</v>
      </c>
      <c r="E4221" s="118"/>
      <c r="F4221" s="123" t="s">
        <v>489</v>
      </c>
      <c r="G4221" s="124">
        <v>4.4999999999999998E-2</v>
      </c>
      <c r="H4221" s="144">
        <f>VLOOKUP(D4221,Bahan,6,FALSE)</f>
        <v>253510</v>
      </c>
      <c r="I4221" s="126">
        <f>G4221*H4221</f>
        <v>11407.949999999999</v>
      </c>
    </row>
    <row r="4222" spans="2:10" ht="15.95" customHeight="1" thickBot="1" x14ac:dyDescent="0.3">
      <c r="C4222" s="122"/>
      <c r="D4222" s="117" t="s">
        <v>960</v>
      </c>
      <c r="E4222" s="118"/>
      <c r="F4222" s="123" t="s">
        <v>159</v>
      </c>
      <c r="G4222" s="124">
        <v>3.2</v>
      </c>
      <c r="H4222" s="144">
        <f>VLOOKUP(D4222,Bahan,6,FALSE)</f>
        <v>2460</v>
      </c>
      <c r="I4222" s="126">
        <f>G4222*H4222</f>
        <v>7872</v>
      </c>
    </row>
    <row r="4223" spans="2:10" ht="15.95" customHeight="1" thickBot="1" x14ac:dyDescent="0.3">
      <c r="C4223" s="132"/>
      <c r="D4223" s="133"/>
      <c r="E4223" s="134"/>
      <c r="F4223" s="134"/>
      <c r="G4223" s="135" t="s">
        <v>386</v>
      </c>
      <c r="H4223" s="136"/>
      <c r="I4223" s="137">
        <f>SUM(I4219:I4222)</f>
        <v>236077.15000000002</v>
      </c>
    </row>
    <row r="4224" spans="2:10" ht="15.95" customHeight="1" thickBot="1" x14ac:dyDescent="0.3">
      <c r="C4224" s="116" t="s">
        <v>387</v>
      </c>
      <c r="D4224" s="117" t="s">
        <v>388</v>
      </c>
      <c r="E4224" s="118"/>
      <c r="F4224" s="118"/>
      <c r="G4224" s="165"/>
      <c r="H4224" s="144">
        <f>IF(AND(D4224&lt;&gt;"",F4224&lt;&gt;""),IF(C4224="",IF(F4224="OH",VLOOKUP(D4224,[1]UPAH!$B$3:$G$32,7,0),VLOOKUP(D4224,[1]BAHAN!$A$2:$D$3,4,0)),0),0)</f>
        <v>0</v>
      </c>
      <c r="I4224" s="126">
        <f>G4224*H4224</f>
        <v>0</v>
      </c>
    </row>
    <row r="4225" spans="2:10" ht="15.95" customHeight="1" thickBot="1" x14ac:dyDescent="0.3">
      <c r="C4225" s="132"/>
      <c r="D4225" s="133"/>
      <c r="E4225" s="134"/>
      <c r="F4225" s="134"/>
      <c r="G4225" s="135" t="s">
        <v>389</v>
      </c>
      <c r="H4225" s="136"/>
      <c r="I4225" s="137">
        <f>I4224</f>
        <v>0</v>
      </c>
    </row>
    <row r="4226" spans="2:10" ht="15.95" customHeight="1" x14ac:dyDescent="0.25">
      <c r="C4226" s="158" t="s">
        <v>390</v>
      </c>
      <c r="D4226" s="159" t="s">
        <v>391</v>
      </c>
      <c r="E4226" s="160"/>
      <c r="F4226" s="160"/>
      <c r="G4226" s="161"/>
      <c r="H4226" s="162">
        <f>IF(AND(D4226&lt;&gt;"",F4226&lt;&gt;""),IF(C4226="",IF(F4226="OH",VLOOKUP(D4226,[1]UPAH!$B$3:$G$32,7,0),VLOOKUP(D4226,[1]BAHAN!$A$2:$D$3,4,0)),0),0)</f>
        <v>0</v>
      </c>
      <c r="I4226" s="126">
        <f>SUM(I4213:I4225)/2</f>
        <v>387802.15</v>
      </c>
    </row>
    <row r="4227" spans="2:10" ht="15.95" customHeight="1" thickBot="1" x14ac:dyDescent="0.3">
      <c r="C4227" s="147" t="s">
        <v>392</v>
      </c>
      <c r="D4227" s="148" t="s">
        <v>393</v>
      </c>
      <c r="E4227" s="149"/>
      <c r="F4227" s="149"/>
      <c r="G4227" s="164">
        <v>0.1</v>
      </c>
      <c r="H4227" s="151"/>
      <c r="I4227" s="146">
        <f>G4227*I4226</f>
        <v>38780.215000000004</v>
      </c>
    </row>
    <row r="4228" spans="2:10" ht="15.95" customHeight="1" thickBot="1" x14ac:dyDescent="0.3">
      <c r="C4228" s="111" t="s">
        <v>394</v>
      </c>
      <c r="D4228" s="112" t="s">
        <v>395</v>
      </c>
      <c r="E4228" s="134"/>
      <c r="F4228" s="134"/>
      <c r="G4228" s="156"/>
      <c r="H4228" s="136">
        <f>IF(AND(D4228&lt;&gt;"",F4228&lt;&gt;""),IF(C4228="",IF(F4228="OH",VLOOKUP(D4228,[1]UPAH!$B$3:$G$32,7,0),VLOOKUP(D4228,[1]BAHAN!$A$2:$D$3,4,0)),0),0)</f>
        <v>0</v>
      </c>
      <c r="I4228" s="137">
        <f>ROUNDDOWN(I4226+I4227,0)</f>
        <v>426582</v>
      </c>
    </row>
    <row r="4229" spans="2:10" ht="15.95" customHeight="1" x14ac:dyDescent="0.25">
      <c r="C4229" s="109"/>
      <c r="D4229" s="109"/>
      <c r="G4229" s="157"/>
    </row>
    <row r="4230" spans="2:10" ht="15.95" customHeight="1" thickBot="1" x14ac:dyDescent="0.3">
      <c r="B4230" s="109" t="s">
        <v>1049</v>
      </c>
      <c r="C4230" s="104" t="s">
        <v>1050</v>
      </c>
      <c r="G4230" s="157"/>
      <c r="J4230" s="110">
        <f>I4248</f>
        <v>299766</v>
      </c>
    </row>
    <row r="4231" spans="2:10" ht="15.95" customHeight="1" thickBot="1" x14ac:dyDescent="0.3">
      <c r="C4231" s="111" t="s">
        <v>328</v>
      </c>
      <c r="D4231" s="112" t="s">
        <v>359</v>
      </c>
      <c r="E4231" s="113" t="s">
        <v>360</v>
      </c>
      <c r="F4231" s="113" t="s">
        <v>330</v>
      </c>
      <c r="G4231" s="114" t="s">
        <v>361</v>
      </c>
      <c r="H4231" s="112" t="s">
        <v>362</v>
      </c>
      <c r="I4231" s="115" t="s">
        <v>363</v>
      </c>
    </row>
    <row r="4232" spans="2:10" ht="15.95" customHeight="1" x14ac:dyDescent="0.25">
      <c r="C4232" s="116" t="s">
        <v>364</v>
      </c>
      <c r="D4232" s="117" t="s">
        <v>365</v>
      </c>
      <c r="E4232" s="118"/>
      <c r="F4232" s="118"/>
      <c r="G4232" s="165"/>
      <c r="H4232" s="144"/>
      <c r="I4232" s="126"/>
    </row>
    <row r="4233" spans="2:10" ht="15.95" customHeight="1" x14ac:dyDescent="0.25">
      <c r="C4233" s="122"/>
      <c r="D4233" s="117" t="s">
        <v>366</v>
      </c>
      <c r="E4233" s="123" t="s">
        <v>367</v>
      </c>
      <c r="F4233" s="123" t="s">
        <v>368</v>
      </c>
      <c r="G4233" s="124">
        <v>0.7</v>
      </c>
      <c r="H4233" s="125">
        <f>VLOOKUP(D4233,Upah,8,FALSE)</f>
        <v>125000</v>
      </c>
      <c r="I4233" s="126">
        <f>G4233*H4233</f>
        <v>87500</v>
      </c>
    </row>
    <row r="4234" spans="2:10" ht="15.95" customHeight="1" x14ac:dyDescent="0.25">
      <c r="C4234" s="122"/>
      <c r="D4234" s="117" t="s">
        <v>505</v>
      </c>
      <c r="E4234" s="123" t="s">
        <v>414</v>
      </c>
      <c r="F4234" s="123" t="s">
        <v>368</v>
      </c>
      <c r="G4234" s="124">
        <v>0.35</v>
      </c>
      <c r="H4234" s="125">
        <f>VLOOKUP(D4234,Upah,8,FALSE)</f>
        <v>150000</v>
      </c>
      <c r="I4234" s="126">
        <f>G4234*H4234</f>
        <v>52500</v>
      </c>
    </row>
    <row r="4235" spans="2:10" ht="15.95" customHeight="1" x14ac:dyDescent="0.25">
      <c r="C4235" s="122"/>
      <c r="D4235" s="117" t="s">
        <v>429</v>
      </c>
      <c r="E4235" s="123" t="s">
        <v>372</v>
      </c>
      <c r="F4235" s="123" t="s">
        <v>368</v>
      </c>
      <c r="G4235" s="124">
        <v>3.5000000000000003E-2</v>
      </c>
      <c r="H4235" s="125">
        <f>VLOOKUP(D4235,Upah,8,FALSE)</f>
        <v>165000</v>
      </c>
      <c r="I4235" s="126">
        <f>G4235*H4235</f>
        <v>5775.0000000000009</v>
      </c>
    </row>
    <row r="4236" spans="2:10" ht="15.95" customHeight="1" thickBot="1" x14ac:dyDescent="0.3">
      <c r="C4236" s="122"/>
      <c r="D4236" s="117" t="s">
        <v>373</v>
      </c>
      <c r="E4236" s="123" t="s">
        <v>374</v>
      </c>
      <c r="F4236" s="123" t="s">
        <v>368</v>
      </c>
      <c r="G4236" s="124">
        <v>3.5000000000000003E-2</v>
      </c>
      <c r="H4236" s="125">
        <f>VLOOKUP(D4236,Upah,8,FALSE)</f>
        <v>170000</v>
      </c>
      <c r="I4236" s="126">
        <f>G4236*H4236</f>
        <v>5950.0000000000009</v>
      </c>
    </row>
    <row r="4237" spans="2:10" ht="15.95" customHeight="1" thickBot="1" x14ac:dyDescent="0.3">
      <c r="C4237" s="132"/>
      <c r="D4237" s="133"/>
      <c r="E4237" s="134"/>
      <c r="F4237" s="134"/>
      <c r="G4237" s="135" t="s">
        <v>375</v>
      </c>
      <c r="H4237" s="136"/>
      <c r="I4237" s="137">
        <f>SUM(I4233:I4236)</f>
        <v>151725</v>
      </c>
    </row>
    <row r="4238" spans="2:10" ht="15.95" customHeight="1" x14ac:dyDescent="0.25">
      <c r="C4238" s="116" t="s">
        <v>376</v>
      </c>
      <c r="D4238" s="117" t="s">
        <v>377</v>
      </c>
      <c r="E4238" s="118"/>
      <c r="F4238" s="118"/>
      <c r="G4238" s="165"/>
      <c r="H4238" s="144"/>
      <c r="I4238" s="126"/>
    </row>
    <row r="4239" spans="2:10" ht="15.95" customHeight="1" x14ac:dyDescent="0.25">
      <c r="C4239" s="122"/>
      <c r="D4239" s="117" t="s">
        <v>1051</v>
      </c>
      <c r="E4239" s="118"/>
      <c r="F4239" s="123" t="s">
        <v>418</v>
      </c>
      <c r="G4239" s="124">
        <v>10</v>
      </c>
      <c r="H4239" s="144">
        <f>VLOOKUP(D4239,Bahan,6,FALSE)</f>
        <v>9000</v>
      </c>
      <c r="I4239" s="126">
        <f>G4239*H4239</f>
        <v>90000</v>
      </c>
    </row>
    <row r="4240" spans="2:10" ht="15.95" customHeight="1" x14ac:dyDescent="0.25">
      <c r="C4240" s="122"/>
      <c r="D4240" s="117" t="s">
        <v>380</v>
      </c>
      <c r="E4240" s="118"/>
      <c r="F4240" s="123" t="s">
        <v>159</v>
      </c>
      <c r="G4240" s="124">
        <v>8.19</v>
      </c>
      <c r="H4240" s="144">
        <f>VLOOKUP(D4240,Bahan,6,FALSE)</f>
        <v>1880</v>
      </c>
      <c r="I4240" s="126">
        <f>G4240*H4240</f>
        <v>15397.199999999999</v>
      </c>
    </row>
    <row r="4241" spans="2:10" ht="15.95" customHeight="1" x14ac:dyDescent="0.25">
      <c r="C4241" s="122"/>
      <c r="D4241" s="117" t="s">
        <v>493</v>
      </c>
      <c r="E4241" s="118"/>
      <c r="F4241" s="123" t="s">
        <v>489</v>
      </c>
      <c r="G4241" s="124">
        <v>4.4999999999999998E-2</v>
      </c>
      <c r="H4241" s="144">
        <f>VLOOKUP(D4241,Bahan,6,FALSE)</f>
        <v>253510</v>
      </c>
      <c r="I4241" s="126">
        <f>G4241*H4241</f>
        <v>11407.949999999999</v>
      </c>
    </row>
    <row r="4242" spans="2:10" ht="15.95" customHeight="1" thickBot="1" x14ac:dyDescent="0.3">
      <c r="C4242" s="122"/>
      <c r="D4242" s="117" t="s">
        <v>960</v>
      </c>
      <c r="E4242" s="118"/>
      <c r="F4242" s="123" t="s">
        <v>159</v>
      </c>
      <c r="G4242" s="124">
        <v>1.62</v>
      </c>
      <c r="H4242" s="144">
        <f>VLOOKUP(D4242,Bahan,6,FALSE)</f>
        <v>2460</v>
      </c>
      <c r="I4242" s="126">
        <f>G4242*H4242</f>
        <v>3985.2000000000003</v>
      </c>
    </row>
    <row r="4243" spans="2:10" ht="15.95" customHeight="1" thickBot="1" x14ac:dyDescent="0.3">
      <c r="C4243" s="132"/>
      <c r="D4243" s="133"/>
      <c r="E4243" s="134"/>
      <c r="F4243" s="134"/>
      <c r="G4243" s="135" t="s">
        <v>386</v>
      </c>
      <c r="H4243" s="136"/>
      <c r="I4243" s="137">
        <f>SUM(I4239:I4242)</f>
        <v>120790.34999999999</v>
      </c>
    </row>
    <row r="4244" spans="2:10" ht="15.95" customHeight="1" thickBot="1" x14ac:dyDescent="0.3">
      <c r="C4244" s="116" t="s">
        <v>387</v>
      </c>
      <c r="D4244" s="117" t="s">
        <v>388</v>
      </c>
      <c r="E4244" s="118"/>
      <c r="F4244" s="118"/>
      <c r="G4244" s="165"/>
      <c r="H4244" s="144">
        <f>IF(AND(D4244&lt;&gt;"",F4244&lt;&gt;""),IF(C4244="",IF(F4244="OH",VLOOKUP(D4244,[1]UPAH!$B$3:$G$32,7,0),VLOOKUP(D4244,[1]BAHAN!$A$2:$D$3,4,0)),0),0)</f>
        <v>0</v>
      </c>
      <c r="I4244" s="126">
        <f>G4244*H4244</f>
        <v>0</v>
      </c>
    </row>
    <row r="4245" spans="2:10" ht="15.95" customHeight="1" thickBot="1" x14ac:dyDescent="0.3">
      <c r="C4245" s="132"/>
      <c r="D4245" s="133"/>
      <c r="E4245" s="134"/>
      <c r="F4245" s="134"/>
      <c r="G4245" s="135" t="s">
        <v>389</v>
      </c>
      <c r="H4245" s="136"/>
      <c r="I4245" s="137">
        <f>I4244</f>
        <v>0</v>
      </c>
    </row>
    <row r="4246" spans="2:10" ht="15.95" customHeight="1" x14ac:dyDescent="0.25">
      <c r="C4246" s="158" t="s">
        <v>390</v>
      </c>
      <c r="D4246" s="159" t="s">
        <v>391</v>
      </c>
      <c r="E4246" s="160"/>
      <c r="F4246" s="160"/>
      <c r="G4246" s="161"/>
      <c r="H4246" s="162">
        <f>IF(AND(D4246&lt;&gt;"",F4246&lt;&gt;""),IF(C4246="",IF(F4246="OH",VLOOKUP(D4246,[1]UPAH!$B$3:$G$32,7,0),VLOOKUP(D4246,[1]BAHAN!$A$2:$D$3,4,0)),0),0)</f>
        <v>0</v>
      </c>
      <c r="I4246" s="126">
        <f>SUM(I4233:I4245)/2</f>
        <v>272515.35000000003</v>
      </c>
    </row>
    <row r="4247" spans="2:10" ht="15.95" customHeight="1" thickBot="1" x14ac:dyDescent="0.3">
      <c r="C4247" s="147" t="s">
        <v>392</v>
      </c>
      <c r="D4247" s="148" t="s">
        <v>393</v>
      </c>
      <c r="E4247" s="149"/>
      <c r="F4247" s="149"/>
      <c r="G4247" s="164">
        <v>0.1</v>
      </c>
      <c r="H4247" s="151"/>
      <c r="I4247" s="146">
        <f>G4247*I4246</f>
        <v>27251.535000000003</v>
      </c>
    </row>
    <row r="4248" spans="2:10" ht="15.95" customHeight="1" thickBot="1" x14ac:dyDescent="0.3">
      <c r="C4248" s="111" t="s">
        <v>394</v>
      </c>
      <c r="D4248" s="112" t="s">
        <v>395</v>
      </c>
      <c r="E4248" s="134"/>
      <c r="F4248" s="134"/>
      <c r="G4248" s="156"/>
      <c r="H4248" s="136">
        <f>IF(AND(D4248&lt;&gt;"",F4248&lt;&gt;""),IF(C4248="",IF(F4248="OH",VLOOKUP(D4248,[1]UPAH!$B$3:$G$32,7,0),VLOOKUP(D4248,[1]BAHAN!$A$2:$D$3,4,0)),0),0)</f>
        <v>0</v>
      </c>
      <c r="I4248" s="137">
        <f>ROUNDDOWN(I4246+I4247,0)</f>
        <v>299766</v>
      </c>
    </row>
    <row r="4249" spans="2:10" ht="15.95" customHeight="1" x14ac:dyDescent="0.25">
      <c r="C4249" s="109"/>
      <c r="D4249" s="109"/>
      <c r="G4249" s="157"/>
    </row>
    <row r="4250" spans="2:10" ht="15.95" customHeight="1" thickBot="1" x14ac:dyDescent="0.3">
      <c r="B4250" s="247" t="s">
        <v>1052</v>
      </c>
      <c r="C4250" s="104" t="s">
        <v>1053</v>
      </c>
      <c r="G4250" s="157"/>
      <c r="J4250" s="110">
        <f>I4268</f>
        <v>302112</v>
      </c>
    </row>
    <row r="4251" spans="2:10" ht="15.95" customHeight="1" thickBot="1" x14ac:dyDescent="0.3">
      <c r="C4251" s="111" t="s">
        <v>328</v>
      </c>
      <c r="D4251" s="112" t="s">
        <v>359</v>
      </c>
      <c r="E4251" s="113" t="s">
        <v>360</v>
      </c>
      <c r="F4251" s="113" t="s">
        <v>330</v>
      </c>
      <c r="G4251" s="114" t="s">
        <v>361</v>
      </c>
      <c r="H4251" s="112" t="s">
        <v>362</v>
      </c>
      <c r="I4251" s="115" t="s">
        <v>363</v>
      </c>
    </row>
    <row r="4252" spans="2:10" ht="15.95" customHeight="1" x14ac:dyDescent="0.25">
      <c r="C4252" s="116" t="s">
        <v>364</v>
      </c>
      <c r="D4252" s="117" t="s">
        <v>365</v>
      </c>
      <c r="E4252" s="118"/>
      <c r="F4252" s="118"/>
      <c r="G4252" s="165"/>
      <c r="H4252" s="144"/>
      <c r="I4252" s="126"/>
    </row>
    <row r="4253" spans="2:10" ht="15.95" customHeight="1" x14ac:dyDescent="0.25">
      <c r="C4253" s="122"/>
      <c r="D4253" s="117" t="s">
        <v>366</v>
      </c>
      <c r="E4253" s="123" t="s">
        <v>367</v>
      </c>
      <c r="F4253" s="123" t="s">
        <v>368</v>
      </c>
      <c r="G4253" s="124">
        <v>0.7</v>
      </c>
      <c r="H4253" s="125">
        <f>VLOOKUP(D4253,Upah,8,FALSE)</f>
        <v>125000</v>
      </c>
      <c r="I4253" s="126">
        <f>G4253*H4253</f>
        <v>87500</v>
      </c>
    </row>
    <row r="4254" spans="2:10" ht="15.95" customHeight="1" x14ac:dyDescent="0.25">
      <c r="C4254" s="122"/>
      <c r="D4254" s="117" t="s">
        <v>505</v>
      </c>
      <c r="E4254" s="123" t="s">
        <v>414</v>
      </c>
      <c r="F4254" s="123" t="s">
        <v>368</v>
      </c>
      <c r="G4254" s="124">
        <v>0.35</v>
      </c>
      <c r="H4254" s="125">
        <f>VLOOKUP(D4254,Upah,8,FALSE)</f>
        <v>150000</v>
      </c>
      <c r="I4254" s="126">
        <f>G4254*H4254</f>
        <v>52500</v>
      </c>
    </row>
    <row r="4255" spans="2:10" ht="15.95" customHeight="1" x14ac:dyDescent="0.25">
      <c r="C4255" s="122"/>
      <c r="D4255" s="117" t="s">
        <v>429</v>
      </c>
      <c r="E4255" s="123" t="s">
        <v>372</v>
      </c>
      <c r="F4255" s="123" t="s">
        <v>368</v>
      </c>
      <c r="G4255" s="124">
        <v>3.5000000000000003E-2</v>
      </c>
      <c r="H4255" s="125">
        <f>VLOOKUP(D4255,Upah,8,FALSE)</f>
        <v>165000</v>
      </c>
      <c r="I4255" s="126">
        <f>G4255*H4255</f>
        <v>5775.0000000000009</v>
      </c>
    </row>
    <row r="4256" spans="2:10" ht="15.95" customHeight="1" thickBot="1" x14ac:dyDescent="0.3">
      <c r="C4256" s="122"/>
      <c r="D4256" s="117" t="s">
        <v>373</v>
      </c>
      <c r="E4256" s="123" t="s">
        <v>374</v>
      </c>
      <c r="F4256" s="123" t="s">
        <v>368</v>
      </c>
      <c r="G4256" s="124">
        <v>3.5000000000000003E-2</v>
      </c>
      <c r="H4256" s="125">
        <f>VLOOKUP(D4256,Upah,8,FALSE)</f>
        <v>170000</v>
      </c>
      <c r="I4256" s="126">
        <f>G4256*H4256</f>
        <v>5950.0000000000009</v>
      </c>
    </row>
    <row r="4257" spans="2:10" ht="15.95" customHeight="1" thickBot="1" x14ac:dyDescent="0.3">
      <c r="C4257" s="132"/>
      <c r="D4257" s="133"/>
      <c r="E4257" s="134"/>
      <c r="F4257" s="134"/>
      <c r="G4257" s="135" t="s">
        <v>375</v>
      </c>
      <c r="H4257" s="136"/>
      <c r="I4257" s="137">
        <f>SUM(I4253:I4256)</f>
        <v>151725</v>
      </c>
    </row>
    <row r="4258" spans="2:10" ht="15.95" customHeight="1" x14ac:dyDescent="0.25">
      <c r="C4258" s="116" t="s">
        <v>376</v>
      </c>
      <c r="D4258" s="117" t="s">
        <v>377</v>
      </c>
      <c r="E4258" s="118"/>
      <c r="F4258" s="118"/>
      <c r="G4258" s="165"/>
      <c r="H4258" s="144"/>
      <c r="I4258" s="126"/>
    </row>
    <row r="4259" spans="2:10" ht="15.95" customHeight="1" x14ac:dyDescent="0.25">
      <c r="C4259" s="122"/>
      <c r="D4259" s="117" t="s">
        <v>1054</v>
      </c>
      <c r="E4259" s="118"/>
      <c r="F4259" s="123" t="s">
        <v>418</v>
      </c>
      <c r="G4259" s="124">
        <v>11.87</v>
      </c>
      <c r="H4259" s="144">
        <f>VLOOKUP(D4259,Bahan,6,FALSE)</f>
        <v>7500</v>
      </c>
      <c r="I4259" s="126">
        <f>G4259*H4259</f>
        <v>89025</v>
      </c>
    </row>
    <row r="4260" spans="2:10" ht="15.95" customHeight="1" x14ac:dyDescent="0.25">
      <c r="C4260" s="122"/>
      <c r="D4260" s="117" t="s">
        <v>380</v>
      </c>
      <c r="E4260" s="118"/>
      <c r="F4260" s="123" t="s">
        <v>159</v>
      </c>
      <c r="G4260" s="124">
        <v>10</v>
      </c>
      <c r="H4260" s="144">
        <f>VLOOKUP(D4260,Bahan,6,FALSE)</f>
        <v>1880</v>
      </c>
      <c r="I4260" s="126">
        <f>G4260*H4260</f>
        <v>18800</v>
      </c>
    </row>
    <row r="4261" spans="2:10" ht="15.95" customHeight="1" x14ac:dyDescent="0.25">
      <c r="C4261" s="122"/>
      <c r="D4261" s="117" t="s">
        <v>493</v>
      </c>
      <c r="E4261" s="118"/>
      <c r="F4261" s="123" t="s">
        <v>489</v>
      </c>
      <c r="G4261" s="124">
        <v>4.4999999999999998E-2</v>
      </c>
      <c r="H4261" s="144">
        <f>VLOOKUP(D4261,Bahan,6,FALSE)</f>
        <v>253510</v>
      </c>
      <c r="I4261" s="126">
        <f>G4261*H4261</f>
        <v>11407.949999999999</v>
      </c>
    </row>
    <row r="4262" spans="2:10" ht="15.95" customHeight="1" thickBot="1" x14ac:dyDescent="0.3">
      <c r="C4262" s="122"/>
      <c r="D4262" s="117" t="s">
        <v>960</v>
      </c>
      <c r="E4262" s="118"/>
      <c r="F4262" s="123" t="s">
        <v>159</v>
      </c>
      <c r="G4262" s="124">
        <v>1.5</v>
      </c>
      <c r="H4262" s="144">
        <f>VLOOKUP(D4262,Bahan,6,FALSE)</f>
        <v>2460</v>
      </c>
      <c r="I4262" s="126">
        <f>G4262*H4262</f>
        <v>3690</v>
      </c>
    </row>
    <row r="4263" spans="2:10" ht="15.95" customHeight="1" thickBot="1" x14ac:dyDescent="0.3">
      <c r="C4263" s="132"/>
      <c r="D4263" s="133"/>
      <c r="E4263" s="134"/>
      <c r="F4263" s="134"/>
      <c r="G4263" s="135" t="s">
        <v>386</v>
      </c>
      <c r="H4263" s="136"/>
      <c r="I4263" s="137">
        <f>SUM(I4259:I4262)</f>
        <v>122922.95</v>
      </c>
    </row>
    <row r="4264" spans="2:10" ht="15.95" customHeight="1" thickBot="1" x14ac:dyDescent="0.3">
      <c r="C4264" s="116" t="s">
        <v>387</v>
      </c>
      <c r="D4264" s="117" t="s">
        <v>388</v>
      </c>
      <c r="E4264" s="118"/>
      <c r="F4264" s="118"/>
      <c r="G4264" s="165"/>
      <c r="H4264" s="144">
        <f>IF(AND(D4264&lt;&gt;"",F4264&lt;&gt;""),IF(C4264="",IF(F4264="OH",VLOOKUP(D4264,[1]UPAH!$B$3:$G$32,7,0),VLOOKUP(D4264,[1]BAHAN!$A$2:$D$3,4,0)),0),0)</f>
        <v>0</v>
      </c>
      <c r="I4264" s="126">
        <f>G4264*H4264</f>
        <v>0</v>
      </c>
    </row>
    <row r="4265" spans="2:10" ht="15.95" customHeight="1" thickBot="1" x14ac:dyDescent="0.3">
      <c r="C4265" s="132"/>
      <c r="D4265" s="133"/>
      <c r="E4265" s="134"/>
      <c r="F4265" s="134"/>
      <c r="G4265" s="135" t="s">
        <v>389</v>
      </c>
      <c r="H4265" s="136"/>
      <c r="I4265" s="137">
        <f>I4264</f>
        <v>0</v>
      </c>
    </row>
    <row r="4266" spans="2:10" ht="15.95" customHeight="1" x14ac:dyDescent="0.25">
      <c r="C4266" s="158" t="s">
        <v>390</v>
      </c>
      <c r="D4266" s="159" t="s">
        <v>391</v>
      </c>
      <c r="E4266" s="160"/>
      <c r="F4266" s="160"/>
      <c r="G4266" s="161"/>
      <c r="H4266" s="162">
        <f>IF(AND(D4266&lt;&gt;"",F4266&lt;&gt;""),IF(C4266="",IF(F4266="OH",VLOOKUP(D4266,[1]UPAH!$B$3:$G$32,7,0),VLOOKUP(D4266,[1]BAHAN!$A$2:$D$3,4,0)),0),0)</f>
        <v>0</v>
      </c>
      <c r="I4266" s="126">
        <f>SUM(I4253:I4265)/2</f>
        <v>274647.95</v>
      </c>
    </row>
    <row r="4267" spans="2:10" ht="15.95" customHeight="1" thickBot="1" x14ac:dyDescent="0.3">
      <c r="C4267" s="147" t="s">
        <v>392</v>
      </c>
      <c r="D4267" s="148" t="s">
        <v>393</v>
      </c>
      <c r="E4267" s="149"/>
      <c r="F4267" s="149"/>
      <c r="G4267" s="164">
        <v>0.1</v>
      </c>
      <c r="H4267" s="151"/>
      <c r="I4267" s="146">
        <f>G4267*I4266</f>
        <v>27464.795000000002</v>
      </c>
    </row>
    <row r="4268" spans="2:10" ht="15.95" customHeight="1" thickBot="1" x14ac:dyDescent="0.3">
      <c r="C4268" s="111" t="s">
        <v>394</v>
      </c>
      <c r="D4268" s="112" t="s">
        <v>395</v>
      </c>
      <c r="E4268" s="134"/>
      <c r="F4268" s="134"/>
      <c r="G4268" s="156"/>
      <c r="H4268" s="136">
        <f>IF(AND(D4268&lt;&gt;"",F4268&lt;&gt;""),IF(C4268="",IF(F4268="OH",VLOOKUP(D4268,[1]UPAH!$B$3:$G$32,7,0),VLOOKUP(D4268,[1]BAHAN!$A$2:$D$3,4,0)),0),0)</f>
        <v>0</v>
      </c>
      <c r="I4268" s="137">
        <f>ROUNDDOWN(I4266+I4267,0)</f>
        <v>302112</v>
      </c>
    </row>
    <row r="4269" spans="2:10" ht="15.95" customHeight="1" x14ac:dyDescent="0.25">
      <c r="C4269" s="109"/>
      <c r="D4269" s="109"/>
      <c r="G4269" s="157"/>
    </row>
    <row r="4270" spans="2:10" ht="15.95" customHeight="1" thickBot="1" x14ac:dyDescent="0.3">
      <c r="B4270" s="247" t="s">
        <v>1055</v>
      </c>
      <c r="C4270" s="104" t="s">
        <v>1056</v>
      </c>
      <c r="G4270" s="157"/>
      <c r="J4270" s="110">
        <f>I4288</f>
        <v>351087</v>
      </c>
    </row>
    <row r="4271" spans="2:10" ht="15.95" customHeight="1" thickBot="1" x14ac:dyDescent="0.3">
      <c r="C4271" s="111" t="s">
        <v>328</v>
      </c>
      <c r="D4271" s="112" t="s">
        <v>359</v>
      </c>
      <c r="E4271" s="113" t="s">
        <v>360</v>
      </c>
      <c r="F4271" s="113" t="s">
        <v>330</v>
      </c>
      <c r="G4271" s="114" t="s">
        <v>361</v>
      </c>
      <c r="H4271" s="112" t="s">
        <v>362</v>
      </c>
      <c r="I4271" s="115" t="s">
        <v>363</v>
      </c>
    </row>
    <row r="4272" spans="2:10" ht="15.95" customHeight="1" x14ac:dyDescent="0.25">
      <c r="C4272" s="116" t="s">
        <v>364</v>
      </c>
      <c r="D4272" s="117" t="s">
        <v>365</v>
      </c>
      <c r="E4272" s="118"/>
      <c r="F4272" s="118"/>
      <c r="G4272" s="165"/>
      <c r="H4272" s="144"/>
      <c r="I4272" s="126"/>
    </row>
    <row r="4273" spans="3:9" ht="15.95" customHeight="1" x14ac:dyDescent="0.25">
      <c r="C4273" s="122"/>
      <c r="D4273" s="117" t="s">
        <v>366</v>
      </c>
      <c r="E4273" s="123" t="s">
        <v>367</v>
      </c>
      <c r="F4273" s="123" t="s">
        <v>368</v>
      </c>
      <c r="G4273" s="124">
        <v>0.7</v>
      </c>
      <c r="H4273" s="125">
        <f>VLOOKUP(D4273,Upah,8,FALSE)</f>
        <v>125000</v>
      </c>
      <c r="I4273" s="126">
        <f>G4273*H4273</f>
        <v>87500</v>
      </c>
    </row>
    <row r="4274" spans="3:9" ht="15.95" customHeight="1" x14ac:dyDescent="0.25">
      <c r="C4274" s="122"/>
      <c r="D4274" s="117" t="s">
        <v>505</v>
      </c>
      <c r="E4274" s="123" t="s">
        <v>414</v>
      </c>
      <c r="F4274" s="123" t="s">
        <v>368</v>
      </c>
      <c r="G4274" s="124">
        <v>0.35</v>
      </c>
      <c r="H4274" s="125">
        <f>VLOOKUP(D4274,Upah,8,FALSE)</f>
        <v>150000</v>
      </c>
      <c r="I4274" s="126">
        <f>G4274*H4274</f>
        <v>52500</v>
      </c>
    </row>
    <row r="4275" spans="3:9" ht="15.95" customHeight="1" x14ac:dyDescent="0.25">
      <c r="C4275" s="122"/>
      <c r="D4275" s="117" t="s">
        <v>429</v>
      </c>
      <c r="E4275" s="123" t="s">
        <v>372</v>
      </c>
      <c r="F4275" s="123" t="s">
        <v>368</v>
      </c>
      <c r="G4275" s="124">
        <v>3.5000000000000003E-2</v>
      </c>
      <c r="H4275" s="125">
        <f>VLOOKUP(D4275,Upah,8,FALSE)</f>
        <v>165000</v>
      </c>
      <c r="I4275" s="126">
        <f>G4275*H4275</f>
        <v>5775.0000000000009</v>
      </c>
    </row>
    <row r="4276" spans="3:9" ht="15.95" customHeight="1" thickBot="1" x14ac:dyDescent="0.3">
      <c r="C4276" s="122"/>
      <c r="D4276" s="117" t="s">
        <v>373</v>
      </c>
      <c r="E4276" s="123" t="s">
        <v>374</v>
      </c>
      <c r="F4276" s="123" t="s">
        <v>368</v>
      </c>
      <c r="G4276" s="124">
        <v>3.5000000000000003E-2</v>
      </c>
      <c r="H4276" s="125">
        <f>VLOOKUP(D4276,Upah,8,FALSE)</f>
        <v>170000</v>
      </c>
      <c r="I4276" s="126">
        <f>G4276*H4276</f>
        <v>5950.0000000000009</v>
      </c>
    </row>
    <row r="4277" spans="3:9" ht="15.95" customHeight="1" thickBot="1" x14ac:dyDescent="0.3">
      <c r="C4277" s="132"/>
      <c r="D4277" s="133"/>
      <c r="E4277" s="134"/>
      <c r="F4277" s="134"/>
      <c r="G4277" s="135" t="s">
        <v>375</v>
      </c>
      <c r="H4277" s="136"/>
      <c r="I4277" s="137">
        <f>SUM(I4273:I4276)</f>
        <v>151725</v>
      </c>
    </row>
    <row r="4278" spans="3:9" ht="15.95" customHeight="1" x14ac:dyDescent="0.25">
      <c r="C4278" s="116" t="s">
        <v>376</v>
      </c>
      <c r="D4278" s="117" t="s">
        <v>377</v>
      </c>
      <c r="E4278" s="118"/>
      <c r="F4278" s="118"/>
      <c r="G4278" s="165"/>
      <c r="H4278" s="144"/>
      <c r="I4278" s="126"/>
    </row>
    <row r="4279" spans="3:9" ht="15.95" customHeight="1" x14ac:dyDescent="0.25">
      <c r="C4279" s="122"/>
      <c r="D4279" s="117" t="s">
        <v>1057</v>
      </c>
      <c r="E4279" s="118"/>
      <c r="F4279" s="123" t="s">
        <v>418</v>
      </c>
      <c r="G4279" s="124">
        <v>26.5</v>
      </c>
      <c r="H4279" s="144">
        <f>VLOOKUP(D4279,Bahan,6,FALSE)</f>
        <v>5000</v>
      </c>
      <c r="I4279" s="126">
        <f>G4279*H4279</f>
        <v>132500</v>
      </c>
    </row>
    <row r="4280" spans="3:9" ht="15.95" customHeight="1" x14ac:dyDescent="0.25">
      <c r="C4280" s="122"/>
      <c r="D4280" s="117" t="s">
        <v>380</v>
      </c>
      <c r="E4280" s="118"/>
      <c r="F4280" s="123" t="s">
        <v>159</v>
      </c>
      <c r="G4280" s="124">
        <v>10.4</v>
      </c>
      <c r="H4280" s="144">
        <f>VLOOKUP(D4280,Bahan,6,FALSE)</f>
        <v>1880</v>
      </c>
      <c r="I4280" s="126">
        <f>G4280*H4280</f>
        <v>19552</v>
      </c>
    </row>
    <row r="4281" spans="3:9" ht="15.95" customHeight="1" x14ac:dyDescent="0.25">
      <c r="C4281" s="122"/>
      <c r="D4281" s="117" t="s">
        <v>493</v>
      </c>
      <c r="E4281" s="118"/>
      <c r="F4281" s="123" t="s">
        <v>489</v>
      </c>
      <c r="G4281" s="124">
        <v>4.4999999999999998E-2</v>
      </c>
      <c r="H4281" s="144">
        <f>VLOOKUP(D4281,Bahan,6,FALSE)</f>
        <v>253510</v>
      </c>
      <c r="I4281" s="126">
        <f>G4281*H4281</f>
        <v>11407.949999999999</v>
      </c>
    </row>
    <row r="4282" spans="3:9" ht="15.95" customHeight="1" thickBot="1" x14ac:dyDescent="0.3">
      <c r="C4282" s="122"/>
      <c r="D4282" s="117" t="s">
        <v>960</v>
      </c>
      <c r="E4282" s="118"/>
      <c r="F4282" s="123" t="s">
        <v>159</v>
      </c>
      <c r="G4282" s="124">
        <v>1.62</v>
      </c>
      <c r="H4282" s="144">
        <f>VLOOKUP(D4282,Bahan,6,FALSE)</f>
        <v>2460</v>
      </c>
      <c r="I4282" s="126">
        <f>G4282*H4282</f>
        <v>3985.2000000000003</v>
      </c>
    </row>
    <row r="4283" spans="3:9" ht="15.95" customHeight="1" thickBot="1" x14ac:dyDescent="0.3">
      <c r="C4283" s="132"/>
      <c r="D4283" s="133"/>
      <c r="E4283" s="134"/>
      <c r="F4283" s="134"/>
      <c r="G4283" s="135" t="s">
        <v>386</v>
      </c>
      <c r="H4283" s="136"/>
      <c r="I4283" s="137">
        <f>SUM(I4279:I4282)</f>
        <v>167445.15000000002</v>
      </c>
    </row>
    <row r="4284" spans="3:9" ht="15.95" customHeight="1" thickBot="1" x14ac:dyDescent="0.3">
      <c r="C4284" s="116" t="s">
        <v>387</v>
      </c>
      <c r="D4284" s="117" t="s">
        <v>388</v>
      </c>
      <c r="E4284" s="118"/>
      <c r="F4284" s="118"/>
      <c r="G4284" s="165"/>
      <c r="H4284" s="144">
        <f>IF(AND(D4284&lt;&gt;"",F4284&lt;&gt;""),IF(C4284="",IF(F4284="OH",VLOOKUP(D4284,[1]UPAH!$B$3:$G$32,7,0),VLOOKUP(D4284,[1]BAHAN!$A$2:$D$3,4,0)),0),0)</f>
        <v>0</v>
      </c>
      <c r="I4284" s="126">
        <f>G4284*H4284</f>
        <v>0</v>
      </c>
    </row>
    <row r="4285" spans="3:9" ht="15.95" customHeight="1" thickBot="1" x14ac:dyDescent="0.3">
      <c r="C4285" s="132"/>
      <c r="D4285" s="133"/>
      <c r="E4285" s="134"/>
      <c r="F4285" s="134"/>
      <c r="G4285" s="135" t="s">
        <v>389</v>
      </c>
      <c r="H4285" s="136"/>
      <c r="I4285" s="137">
        <f>I4284</f>
        <v>0</v>
      </c>
    </row>
    <row r="4286" spans="3:9" ht="15.95" customHeight="1" x14ac:dyDescent="0.25">
      <c r="C4286" s="158" t="s">
        <v>390</v>
      </c>
      <c r="D4286" s="159" t="s">
        <v>391</v>
      </c>
      <c r="E4286" s="160"/>
      <c r="F4286" s="160"/>
      <c r="G4286" s="161"/>
      <c r="H4286" s="162">
        <f>IF(AND(D4286&lt;&gt;"",F4286&lt;&gt;""),IF(C4286="",IF(F4286="OH",VLOOKUP(D4286,[1]UPAH!$B$3:$G$32,7,0),VLOOKUP(D4286,[1]BAHAN!$A$2:$D$3,4,0)),0),0)</f>
        <v>0</v>
      </c>
      <c r="I4286" s="126">
        <f>SUM(I4273:I4285)/2</f>
        <v>319170.15000000002</v>
      </c>
    </row>
    <row r="4287" spans="3:9" ht="15.95" customHeight="1" thickBot="1" x14ac:dyDescent="0.3">
      <c r="C4287" s="147" t="s">
        <v>392</v>
      </c>
      <c r="D4287" s="148" t="s">
        <v>393</v>
      </c>
      <c r="E4287" s="149"/>
      <c r="F4287" s="149"/>
      <c r="G4287" s="164">
        <v>0.1</v>
      </c>
      <c r="H4287" s="151"/>
      <c r="I4287" s="146">
        <f>G4287*I4286</f>
        <v>31917.015000000003</v>
      </c>
    </row>
    <row r="4288" spans="3:9" ht="15.95" customHeight="1" thickBot="1" x14ac:dyDescent="0.3">
      <c r="C4288" s="111" t="s">
        <v>394</v>
      </c>
      <c r="D4288" s="112" t="s">
        <v>395</v>
      </c>
      <c r="E4288" s="134"/>
      <c r="F4288" s="134"/>
      <c r="G4288" s="156"/>
      <c r="H4288" s="136">
        <f>IF(AND(D4288&lt;&gt;"",F4288&lt;&gt;""),IF(C4288="",IF(F4288="OH",VLOOKUP(D4288,[1]UPAH!$B$3:$G$32,7,0),VLOOKUP(D4288,[1]BAHAN!$A$2:$D$3,4,0)),0),0)</f>
        <v>0</v>
      </c>
      <c r="I4288" s="137">
        <f>ROUNDDOWN(I4286+I4287,0)</f>
        <v>351087</v>
      </c>
    </row>
    <row r="4289" spans="2:10" ht="15.95" customHeight="1" x14ac:dyDescent="0.25">
      <c r="C4289" s="109"/>
      <c r="D4289" s="109"/>
      <c r="G4289" s="157"/>
    </row>
    <row r="4290" spans="2:10" ht="15.95" customHeight="1" thickBot="1" x14ac:dyDescent="0.3">
      <c r="B4290" s="109" t="s">
        <v>1058</v>
      </c>
      <c r="C4290" s="104" t="s">
        <v>1059</v>
      </c>
      <c r="G4290" s="157"/>
      <c r="J4290" s="110">
        <f>I4308</f>
        <v>937680</v>
      </c>
    </row>
    <row r="4291" spans="2:10" ht="15.95" customHeight="1" thickBot="1" x14ac:dyDescent="0.3">
      <c r="C4291" s="111" t="s">
        <v>328</v>
      </c>
      <c r="D4291" s="112" t="s">
        <v>359</v>
      </c>
      <c r="E4291" s="113" t="s">
        <v>360</v>
      </c>
      <c r="F4291" s="113" t="s">
        <v>330</v>
      </c>
      <c r="G4291" s="114" t="s">
        <v>361</v>
      </c>
      <c r="H4291" s="112" t="s">
        <v>362</v>
      </c>
      <c r="I4291" s="115" t="s">
        <v>363</v>
      </c>
    </row>
    <row r="4292" spans="2:10" ht="15.95" customHeight="1" x14ac:dyDescent="0.25">
      <c r="C4292" s="116" t="s">
        <v>364</v>
      </c>
      <c r="D4292" s="117" t="s">
        <v>365</v>
      </c>
      <c r="E4292" s="118"/>
      <c r="F4292" s="118"/>
      <c r="G4292" s="165"/>
      <c r="H4292" s="144"/>
      <c r="I4292" s="126"/>
    </row>
    <row r="4293" spans="2:10" ht="15.95" customHeight="1" x14ac:dyDescent="0.25">
      <c r="C4293" s="122"/>
      <c r="D4293" s="117" t="s">
        <v>366</v>
      </c>
      <c r="E4293" s="123" t="s">
        <v>367</v>
      </c>
      <c r="F4293" s="123" t="s">
        <v>368</v>
      </c>
      <c r="G4293" s="124">
        <v>1.05</v>
      </c>
      <c r="H4293" s="125">
        <f>VLOOKUP(D4293,Upah,8,FALSE)</f>
        <v>125000</v>
      </c>
      <c r="I4293" s="126">
        <f>G4293*H4293</f>
        <v>131250</v>
      </c>
    </row>
    <row r="4294" spans="2:10" ht="15.95" customHeight="1" x14ac:dyDescent="0.25">
      <c r="C4294" s="122"/>
      <c r="D4294" s="117" t="s">
        <v>505</v>
      </c>
      <c r="E4294" s="123" t="s">
        <v>414</v>
      </c>
      <c r="F4294" s="123" t="s">
        <v>368</v>
      </c>
      <c r="G4294" s="124">
        <v>0.52500000000000002</v>
      </c>
      <c r="H4294" s="125">
        <f>VLOOKUP(D4294,Upah,8,FALSE)</f>
        <v>150000</v>
      </c>
      <c r="I4294" s="126">
        <f>G4294*H4294</f>
        <v>78750</v>
      </c>
    </row>
    <row r="4295" spans="2:10" ht="15.95" customHeight="1" x14ac:dyDescent="0.25">
      <c r="C4295" s="122"/>
      <c r="D4295" s="117" t="s">
        <v>429</v>
      </c>
      <c r="E4295" s="123" t="s">
        <v>372</v>
      </c>
      <c r="F4295" s="123" t="s">
        <v>368</v>
      </c>
      <c r="G4295" s="124">
        <v>5.2999999999999999E-2</v>
      </c>
      <c r="H4295" s="125">
        <f>VLOOKUP(D4295,Upah,8,FALSE)</f>
        <v>165000</v>
      </c>
      <c r="I4295" s="126">
        <f>G4295*H4295</f>
        <v>8745</v>
      </c>
    </row>
    <row r="4296" spans="2:10" ht="15.95" customHeight="1" thickBot="1" x14ac:dyDescent="0.3">
      <c r="C4296" s="122"/>
      <c r="D4296" s="117" t="s">
        <v>373</v>
      </c>
      <c r="E4296" s="123" t="s">
        <v>374</v>
      </c>
      <c r="F4296" s="123" t="s">
        <v>368</v>
      </c>
      <c r="G4296" s="124">
        <v>5.2999999999999999E-2</v>
      </c>
      <c r="H4296" s="125">
        <f>VLOOKUP(D4296,Upah,8,FALSE)</f>
        <v>170000</v>
      </c>
      <c r="I4296" s="126">
        <f>G4296*H4296</f>
        <v>9010</v>
      </c>
    </row>
    <row r="4297" spans="2:10" ht="15.95" customHeight="1" thickBot="1" x14ac:dyDescent="0.3">
      <c r="C4297" s="132"/>
      <c r="D4297" s="133"/>
      <c r="E4297" s="134"/>
      <c r="F4297" s="134"/>
      <c r="G4297" s="135" t="s">
        <v>375</v>
      </c>
      <c r="H4297" s="136"/>
      <c r="I4297" s="137">
        <f>SUM(I4293:I4296)</f>
        <v>227755</v>
      </c>
    </row>
    <row r="4298" spans="2:10" ht="15.95" customHeight="1" x14ac:dyDescent="0.25">
      <c r="C4298" s="116" t="s">
        <v>376</v>
      </c>
      <c r="D4298" s="117" t="s">
        <v>377</v>
      </c>
      <c r="E4298" s="118"/>
      <c r="F4298" s="118"/>
      <c r="G4298" s="165"/>
      <c r="H4298" s="144"/>
      <c r="I4298" s="126"/>
    </row>
    <row r="4299" spans="2:10" ht="15.95" customHeight="1" x14ac:dyDescent="0.25">
      <c r="C4299" s="122"/>
      <c r="D4299" s="117" t="s">
        <v>1060</v>
      </c>
      <c r="E4299" s="118"/>
      <c r="F4299" s="123" t="s">
        <v>418</v>
      </c>
      <c r="G4299" s="124">
        <v>33</v>
      </c>
      <c r="H4299" s="144">
        <f>VLOOKUP(D4299,Bahan,6,FALSE)</f>
        <v>17700</v>
      </c>
      <c r="I4299" s="126">
        <f>G4299*H4299</f>
        <v>584100</v>
      </c>
    </row>
    <row r="4300" spans="2:10" ht="15.95" customHeight="1" x14ac:dyDescent="0.25">
      <c r="C4300" s="122"/>
      <c r="D4300" s="117" t="s">
        <v>380</v>
      </c>
      <c r="E4300" s="118"/>
      <c r="F4300" s="123" t="s">
        <v>159</v>
      </c>
      <c r="G4300" s="124">
        <v>9.8000000000000007</v>
      </c>
      <c r="H4300" s="144">
        <f>VLOOKUP(D4300,Bahan,6,FALSE)</f>
        <v>1880</v>
      </c>
      <c r="I4300" s="126">
        <f>G4300*H4300</f>
        <v>18424</v>
      </c>
    </row>
    <row r="4301" spans="2:10" ht="15.95" customHeight="1" x14ac:dyDescent="0.25">
      <c r="C4301" s="122"/>
      <c r="D4301" s="117" t="s">
        <v>493</v>
      </c>
      <c r="E4301" s="118"/>
      <c r="F4301" s="123" t="s">
        <v>489</v>
      </c>
      <c r="G4301" s="124">
        <v>4.4999999999999998E-2</v>
      </c>
      <c r="H4301" s="144">
        <f>VLOOKUP(D4301,Bahan,6,FALSE)</f>
        <v>253510</v>
      </c>
      <c r="I4301" s="126">
        <f>G4301*H4301</f>
        <v>11407.949999999999</v>
      </c>
    </row>
    <row r="4302" spans="2:10" ht="15.95" customHeight="1" thickBot="1" x14ac:dyDescent="0.3">
      <c r="C4302" s="122"/>
      <c r="D4302" s="117" t="s">
        <v>960</v>
      </c>
      <c r="E4302" s="118"/>
      <c r="F4302" s="123" t="s">
        <v>159</v>
      </c>
      <c r="G4302" s="124">
        <v>4.37</v>
      </c>
      <c r="H4302" s="144">
        <f>VLOOKUP(D4302,Bahan,6,FALSE)</f>
        <v>2460</v>
      </c>
      <c r="I4302" s="126">
        <f>G4302*H4302</f>
        <v>10750.2</v>
      </c>
    </row>
    <row r="4303" spans="2:10" ht="15.95" customHeight="1" thickBot="1" x14ac:dyDescent="0.3">
      <c r="C4303" s="132"/>
      <c r="D4303" s="133"/>
      <c r="E4303" s="134"/>
      <c r="F4303" s="134"/>
      <c r="G4303" s="135" t="s">
        <v>386</v>
      </c>
      <c r="H4303" s="136"/>
      <c r="I4303" s="137">
        <f>SUM(I4299:I4302)</f>
        <v>624682.14999999991</v>
      </c>
    </row>
    <row r="4304" spans="2:10" ht="15.95" customHeight="1" thickBot="1" x14ac:dyDescent="0.3">
      <c r="C4304" s="116" t="s">
        <v>387</v>
      </c>
      <c r="D4304" s="117" t="s">
        <v>388</v>
      </c>
      <c r="E4304" s="118"/>
      <c r="F4304" s="118"/>
      <c r="G4304" s="165"/>
      <c r="H4304" s="144">
        <f>IF(AND(D4304&lt;&gt;"",F4304&lt;&gt;""),IF(C4304="",IF(F4304="OH",VLOOKUP(D4304,[1]UPAH!$B$3:$G$32,7,0),VLOOKUP(D4304,[1]BAHAN!$A$2:$D$3,4,0)),0),0)</f>
        <v>0</v>
      </c>
      <c r="I4304" s="126">
        <f>G4304*H4304</f>
        <v>0</v>
      </c>
    </row>
    <row r="4305" spans="2:10" ht="15.95" customHeight="1" thickBot="1" x14ac:dyDescent="0.3">
      <c r="C4305" s="132"/>
      <c r="D4305" s="133"/>
      <c r="E4305" s="134"/>
      <c r="F4305" s="134"/>
      <c r="G4305" s="135" t="s">
        <v>389</v>
      </c>
      <c r="H4305" s="136"/>
      <c r="I4305" s="137">
        <f>I4304</f>
        <v>0</v>
      </c>
    </row>
    <row r="4306" spans="2:10" ht="15.95" customHeight="1" x14ac:dyDescent="0.25">
      <c r="C4306" s="158" t="s">
        <v>390</v>
      </c>
      <c r="D4306" s="159" t="s">
        <v>391</v>
      </c>
      <c r="E4306" s="160"/>
      <c r="F4306" s="160"/>
      <c r="G4306" s="161"/>
      <c r="H4306" s="162">
        <f>IF(AND(D4306&lt;&gt;"",F4306&lt;&gt;""),IF(C4306="",IF(F4306="OH",VLOOKUP(D4306,[1]UPAH!$B$3:$G$32,7,0),VLOOKUP(D4306,[1]BAHAN!$A$2:$D$3,4,0)),0),0)</f>
        <v>0</v>
      </c>
      <c r="I4306" s="126">
        <f>SUM(I4293:I4305)/2</f>
        <v>852437.14999999991</v>
      </c>
    </row>
    <row r="4307" spans="2:10" ht="15.95" customHeight="1" thickBot="1" x14ac:dyDescent="0.3">
      <c r="C4307" s="147" t="s">
        <v>392</v>
      </c>
      <c r="D4307" s="148" t="s">
        <v>393</v>
      </c>
      <c r="E4307" s="149"/>
      <c r="F4307" s="149"/>
      <c r="G4307" s="164">
        <v>0.1</v>
      </c>
      <c r="H4307" s="151"/>
      <c r="I4307" s="146">
        <f>G4307*I4306</f>
        <v>85243.714999999997</v>
      </c>
    </row>
    <row r="4308" spans="2:10" ht="15.95" customHeight="1" thickBot="1" x14ac:dyDescent="0.3">
      <c r="C4308" s="111" t="s">
        <v>394</v>
      </c>
      <c r="D4308" s="112" t="s">
        <v>395</v>
      </c>
      <c r="E4308" s="134"/>
      <c r="F4308" s="134"/>
      <c r="G4308" s="156"/>
      <c r="H4308" s="136">
        <f>IF(AND(D4308&lt;&gt;"",F4308&lt;&gt;""),IF(C4308="",IF(F4308="OH",VLOOKUP(D4308,[1]UPAH!$B$3:$G$32,7,0),VLOOKUP(D4308,[1]BAHAN!$A$2:$D$3,4,0)),0),0)</f>
        <v>0</v>
      </c>
      <c r="I4308" s="137">
        <f>ROUNDDOWN(I4306+I4307,0)</f>
        <v>937680</v>
      </c>
    </row>
    <row r="4309" spans="2:10" ht="15.95" customHeight="1" x14ac:dyDescent="0.25">
      <c r="C4309" s="109"/>
      <c r="D4309" s="109"/>
      <c r="G4309" s="157"/>
    </row>
    <row r="4310" spans="2:10" ht="15.95" customHeight="1" thickBot="1" x14ac:dyDescent="0.3">
      <c r="B4310" s="109" t="s">
        <v>1061</v>
      </c>
      <c r="C4310" s="104" t="s">
        <v>1062</v>
      </c>
      <c r="G4310" s="157"/>
      <c r="J4310" s="110">
        <f>I4328</f>
        <v>389500</v>
      </c>
    </row>
    <row r="4311" spans="2:10" ht="15.95" customHeight="1" thickBot="1" x14ac:dyDescent="0.3">
      <c r="C4311" s="111" t="s">
        <v>328</v>
      </c>
      <c r="D4311" s="112" t="s">
        <v>359</v>
      </c>
      <c r="E4311" s="113" t="s">
        <v>360</v>
      </c>
      <c r="F4311" s="113" t="s">
        <v>330</v>
      </c>
      <c r="G4311" s="114" t="s">
        <v>361</v>
      </c>
      <c r="H4311" s="112" t="s">
        <v>362</v>
      </c>
      <c r="I4311" s="115" t="s">
        <v>363</v>
      </c>
    </row>
    <row r="4312" spans="2:10" ht="15.95" customHeight="1" x14ac:dyDescent="0.25">
      <c r="C4312" s="116" t="s">
        <v>364</v>
      </c>
      <c r="D4312" s="117" t="s">
        <v>365</v>
      </c>
      <c r="E4312" s="118"/>
      <c r="F4312" s="118"/>
      <c r="G4312" s="165"/>
      <c r="H4312" s="144"/>
      <c r="I4312" s="126"/>
    </row>
    <row r="4313" spans="2:10" ht="15.95" customHeight="1" x14ac:dyDescent="0.25">
      <c r="C4313" s="122"/>
      <c r="D4313" s="117" t="s">
        <v>366</v>
      </c>
      <c r="E4313" s="123" t="s">
        <v>367</v>
      </c>
      <c r="F4313" s="123" t="s">
        <v>368</v>
      </c>
      <c r="G4313" s="124">
        <v>0.7</v>
      </c>
      <c r="H4313" s="125">
        <f>VLOOKUP(D4313,Upah,8,FALSE)</f>
        <v>125000</v>
      </c>
      <c r="I4313" s="126">
        <f>G4313*H4313</f>
        <v>87500</v>
      </c>
    </row>
    <row r="4314" spans="2:10" ht="15.95" customHeight="1" x14ac:dyDescent="0.25">
      <c r="C4314" s="122"/>
      <c r="D4314" s="117" t="s">
        <v>505</v>
      </c>
      <c r="E4314" s="123" t="s">
        <v>414</v>
      </c>
      <c r="F4314" s="123" t="s">
        <v>368</v>
      </c>
      <c r="G4314" s="124">
        <v>0.35</v>
      </c>
      <c r="H4314" s="125">
        <f>VLOOKUP(D4314,Upah,8,FALSE)</f>
        <v>150000</v>
      </c>
      <c r="I4314" s="126">
        <f>G4314*H4314</f>
        <v>52500</v>
      </c>
    </row>
    <row r="4315" spans="2:10" ht="15.95" customHeight="1" x14ac:dyDescent="0.25">
      <c r="C4315" s="122"/>
      <c r="D4315" s="117" t="s">
        <v>429</v>
      </c>
      <c r="E4315" s="123" t="s">
        <v>372</v>
      </c>
      <c r="F4315" s="123" t="s">
        <v>368</v>
      </c>
      <c r="G4315" s="124">
        <v>3.5000000000000003E-2</v>
      </c>
      <c r="H4315" s="125">
        <f>VLOOKUP(D4315,Upah,8,FALSE)</f>
        <v>165000</v>
      </c>
      <c r="I4315" s="126">
        <f>G4315*H4315</f>
        <v>5775.0000000000009</v>
      </c>
    </row>
    <row r="4316" spans="2:10" ht="15.95" customHeight="1" thickBot="1" x14ac:dyDescent="0.3">
      <c r="C4316" s="122"/>
      <c r="D4316" s="117" t="s">
        <v>373</v>
      </c>
      <c r="E4316" s="123" t="s">
        <v>374</v>
      </c>
      <c r="F4316" s="123" t="s">
        <v>368</v>
      </c>
      <c r="G4316" s="124">
        <v>3.5000000000000003E-2</v>
      </c>
      <c r="H4316" s="125">
        <f>VLOOKUP(D4316,Upah,8,FALSE)</f>
        <v>170000</v>
      </c>
      <c r="I4316" s="126">
        <f>G4316*H4316</f>
        <v>5950.0000000000009</v>
      </c>
    </row>
    <row r="4317" spans="2:10" ht="15.95" customHeight="1" thickBot="1" x14ac:dyDescent="0.3">
      <c r="C4317" s="132"/>
      <c r="D4317" s="133"/>
      <c r="E4317" s="134"/>
      <c r="F4317" s="134"/>
      <c r="G4317" s="135" t="s">
        <v>375</v>
      </c>
      <c r="H4317" s="136"/>
      <c r="I4317" s="137">
        <f>SUM(I4313:I4316)</f>
        <v>151725</v>
      </c>
    </row>
    <row r="4318" spans="2:10" ht="15.95" customHeight="1" x14ac:dyDescent="0.25">
      <c r="C4318" s="116" t="s">
        <v>376</v>
      </c>
      <c r="D4318" s="117" t="s">
        <v>377</v>
      </c>
      <c r="E4318" s="118"/>
      <c r="F4318" s="118"/>
      <c r="G4318" s="165"/>
      <c r="H4318" s="144"/>
      <c r="I4318" s="126"/>
    </row>
    <row r="4319" spans="2:10" ht="15.95" customHeight="1" x14ac:dyDescent="0.25">
      <c r="C4319" s="122"/>
      <c r="D4319" s="117" t="s">
        <v>1063</v>
      </c>
      <c r="E4319" s="118"/>
      <c r="F4319" s="123" t="s">
        <v>418</v>
      </c>
      <c r="G4319" s="124">
        <v>11.87</v>
      </c>
      <c r="H4319" s="144">
        <f>VLOOKUP(D4319,Bahan,6,FALSE)</f>
        <v>13560</v>
      </c>
      <c r="I4319" s="126">
        <f>G4319*H4319</f>
        <v>160957.19999999998</v>
      </c>
    </row>
    <row r="4320" spans="2:10" ht="15.95" customHeight="1" x14ac:dyDescent="0.25">
      <c r="C4320" s="122"/>
      <c r="D4320" s="117" t="s">
        <v>380</v>
      </c>
      <c r="E4320" s="118"/>
      <c r="F4320" s="123" t="s">
        <v>159</v>
      </c>
      <c r="G4320" s="124">
        <v>14.15</v>
      </c>
      <c r="H4320" s="144">
        <f>VLOOKUP(D4320,Bahan,6,FALSE)</f>
        <v>1880</v>
      </c>
      <c r="I4320" s="126">
        <f>G4320*H4320</f>
        <v>26602</v>
      </c>
    </row>
    <row r="4321" spans="2:10" ht="15.95" customHeight="1" x14ac:dyDescent="0.25">
      <c r="C4321" s="122"/>
      <c r="D4321" s="117" t="s">
        <v>493</v>
      </c>
      <c r="E4321" s="118"/>
      <c r="F4321" s="123" t="s">
        <v>489</v>
      </c>
      <c r="G4321" s="124">
        <v>3.9E-2</v>
      </c>
      <c r="H4321" s="144">
        <f>VLOOKUP(D4321,Bahan,6,FALSE)</f>
        <v>253510</v>
      </c>
      <c r="I4321" s="126">
        <f>G4321*H4321</f>
        <v>9886.89</v>
      </c>
    </row>
    <row r="4322" spans="2:10" ht="15.95" customHeight="1" thickBot="1" x14ac:dyDescent="0.3">
      <c r="C4322" s="122"/>
      <c r="D4322" s="117" t="s">
        <v>960</v>
      </c>
      <c r="E4322" s="118"/>
      <c r="F4322" s="123" t="s">
        <v>159</v>
      </c>
      <c r="G4322" s="124">
        <v>2</v>
      </c>
      <c r="H4322" s="144">
        <f>VLOOKUP(D4322,Bahan,6,FALSE)</f>
        <v>2460</v>
      </c>
      <c r="I4322" s="126">
        <f>G4322*H4322</f>
        <v>4920</v>
      </c>
    </row>
    <row r="4323" spans="2:10" ht="15.95" customHeight="1" thickBot="1" x14ac:dyDescent="0.3">
      <c r="C4323" s="132"/>
      <c r="D4323" s="133"/>
      <c r="E4323" s="134"/>
      <c r="F4323" s="134"/>
      <c r="G4323" s="135" t="s">
        <v>386</v>
      </c>
      <c r="H4323" s="136"/>
      <c r="I4323" s="137">
        <f>SUM(I4319:I4322)</f>
        <v>202366.08999999997</v>
      </c>
    </row>
    <row r="4324" spans="2:10" ht="15.95" customHeight="1" thickBot="1" x14ac:dyDescent="0.3">
      <c r="C4324" s="116" t="s">
        <v>387</v>
      </c>
      <c r="D4324" s="117" t="s">
        <v>388</v>
      </c>
      <c r="E4324" s="118"/>
      <c r="F4324" s="118"/>
      <c r="G4324" s="165"/>
      <c r="H4324" s="144">
        <f>IF(AND(D4324&lt;&gt;"",F4324&lt;&gt;""),IF(C4324="",IF(F4324="OH",VLOOKUP(D4324,[1]UPAH!$B$3:$G$32,7,0),VLOOKUP(D4324,[1]BAHAN!$A$2:$D$3,4,0)),0),0)</f>
        <v>0</v>
      </c>
      <c r="I4324" s="126">
        <f>G4324*H4324</f>
        <v>0</v>
      </c>
    </row>
    <row r="4325" spans="2:10" ht="15.95" customHeight="1" thickBot="1" x14ac:dyDescent="0.3">
      <c r="C4325" s="132"/>
      <c r="D4325" s="133"/>
      <c r="E4325" s="134"/>
      <c r="F4325" s="134"/>
      <c r="G4325" s="135" t="s">
        <v>389</v>
      </c>
      <c r="H4325" s="136"/>
      <c r="I4325" s="137">
        <f>I4324</f>
        <v>0</v>
      </c>
    </row>
    <row r="4326" spans="2:10" ht="15.95" customHeight="1" x14ac:dyDescent="0.25">
      <c r="C4326" s="158" t="s">
        <v>390</v>
      </c>
      <c r="D4326" s="159" t="s">
        <v>391</v>
      </c>
      <c r="E4326" s="160"/>
      <c r="F4326" s="160"/>
      <c r="G4326" s="161"/>
      <c r="H4326" s="162">
        <f>IF(AND(D4326&lt;&gt;"",F4326&lt;&gt;""),IF(C4326="",IF(F4326="OH",VLOOKUP(D4326,[1]UPAH!$B$3:$G$32,7,0),VLOOKUP(D4326,[1]BAHAN!$A$2:$D$3,4,0)),0),0)</f>
        <v>0</v>
      </c>
      <c r="I4326" s="126">
        <f>SUM(I4313:I4325)/2</f>
        <v>354091.08999999997</v>
      </c>
    </row>
    <row r="4327" spans="2:10" ht="15.95" customHeight="1" thickBot="1" x14ac:dyDescent="0.3">
      <c r="C4327" s="147" t="s">
        <v>392</v>
      </c>
      <c r="D4327" s="148" t="s">
        <v>393</v>
      </c>
      <c r="E4327" s="149"/>
      <c r="F4327" s="149"/>
      <c r="G4327" s="164">
        <v>0.1</v>
      </c>
      <c r="H4327" s="151"/>
      <c r="I4327" s="146">
        <f>G4327*I4326</f>
        <v>35409.108999999997</v>
      </c>
    </row>
    <row r="4328" spans="2:10" ht="15.95" customHeight="1" thickBot="1" x14ac:dyDescent="0.3">
      <c r="C4328" s="111" t="s">
        <v>394</v>
      </c>
      <c r="D4328" s="112" t="s">
        <v>395</v>
      </c>
      <c r="E4328" s="134"/>
      <c r="F4328" s="134"/>
      <c r="G4328" s="156"/>
      <c r="H4328" s="136">
        <f>IF(AND(D4328&lt;&gt;"",F4328&lt;&gt;""),IF(C4328="",IF(F4328="OH",VLOOKUP(D4328,[1]UPAH!$B$3:$G$32,7,0),VLOOKUP(D4328,[1]BAHAN!$A$2:$D$3,4,0)),0),0)</f>
        <v>0</v>
      </c>
      <c r="I4328" s="137">
        <f>ROUNDDOWN(I4326+I4327,0)</f>
        <v>389500</v>
      </c>
    </row>
    <row r="4329" spans="2:10" ht="15.95" customHeight="1" x14ac:dyDescent="0.25">
      <c r="C4329" s="109"/>
      <c r="D4329" s="109"/>
      <c r="G4329" s="157"/>
    </row>
    <row r="4330" spans="2:10" ht="15.95" customHeight="1" thickBot="1" x14ac:dyDescent="0.3">
      <c r="B4330" s="109" t="s">
        <v>1064</v>
      </c>
      <c r="C4330" s="104" t="s">
        <v>1065</v>
      </c>
      <c r="G4330" s="157"/>
      <c r="J4330" s="110">
        <f>I4348</f>
        <v>85172</v>
      </c>
    </row>
    <row r="4331" spans="2:10" ht="15.95" customHeight="1" thickBot="1" x14ac:dyDescent="0.3">
      <c r="C4331" s="111" t="s">
        <v>328</v>
      </c>
      <c r="D4331" s="112" t="s">
        <v>359</v>
      </c>
      <c r="E4331" s="113" t="s">
        <v>360</v>
      </c>
      <c r="F4331" s="113" t="s">
        <v>330</v>
      </c>
      <c r="G4331" s="114" t="s">
        <v>361</v>
      </c>
      <c r="H4331" s="112" t="s">
        <v>362</v>
      </c>
      <c r="I4331" s="115" t="s">
        <v>363</v>
      </c>
    </row>
    <row r="4332" spans="2:10" ht="15.95" customHeight="1" x14ac:dyDescent="0.25">
      <c r="C4332" s="116" t="s">
        <v>364</v>
      </c>
      <c r="D4332" s="117" t="s">
        <v>365</v>
      </c>
      <c r="E4332" s="118"/>
      <c r="F4332" s="118"/>
      <c r="G4332" s="165"/>
      <c r="H4332" s="144"/>
      <c r="I4332" s="126"/>
    </row>
    <row r="4333" spans="2:10" ht="15.95" customHeight="1" x14ac:dyDescent="0.25">
      <c r="C4333" s="122"/>
      <c r="D4333" s="117" t="s">
        <v>366</v>
      </c>
      <c r="E4333" s="123" t="s">
        <v>367</v>
      </c>
      <c r="F4333" s="123" t="s">
        <v>368</v>
      </c>
      <c r="G4333" s="124">
        <v>0.09</v>
      </c>
      <c r="H4333" s="125">
        <f>VLOOKUP(D4333,Upah,8,FALSE)</f>
        <v>125000</v>
      </c>
      <c r="I4333" s="126">
        <f>G4333*H4333</f>
        <v>11250</v>
      </c>
    </row>
    <row r="4334" spans="2:10" ht="15.95" customHeight="1" x14ac:dyDescent="0.25">
      <c r="C4334" s="122"/>
      <c r="D4334" s="117" t="s">
        <v>505</v>
      </c>
      <c r="E4334" s="123" t="s">
        <v>414</v>
      </c>
      <c r="F4334" s="123" t="s">
        <v>368</v>
      </c>
      <c r="G4334" s="124">
        <v>0.09</v>
      </c>
      <c r="H4334" s="125">
        <f>VLOOKUP(D4334,Upah,8,FALSE)</f>
        <v>150000</v>
      </c>
      <c r="I4334" s="126">
        <f>G4334*H4334</f>
        <v>13500</v>
      </c>
    </row>
    <row r="4335" spans="2:10" ht="15.95" customHeight="1" x14ac:dyDescent="0.25">
      <c r="C4335" s="122"/>
      <c r="D4335" s="117" t="s">
        <v>429</v>
      </c>
      <c r="E4335" s="123" t="s">
        <v>372</v>
      </c>
      <c r="F4335" s="123" t="s">
        <v>368</v>
      </c>
      <c r="G4335" s="124">
        <v>3.5000000000000003E-2</v>
      </c>
      <c r="H4335" s="125">
        <f>VLOOKUP(D4335,Upah,8,FALSE)</f>
        <v>165000</v>
      </c>
      <c r="I4335" s="126">
        <f>G4335*H4335</f>
        <v>5775.0000000000009</v>
      </c>
    </row>
    <row r="4336" spans="2:10" ht="15.95" customHeight="1" thickBot="1" x14ac:dyDescent="0.3">
      <c r="C4336" s="122"/>
      <c r="D4336" s="117" t="s">
        <v>373</v>
      </c>
      <c r="E4336" s="123" t="s">
        <v>374</v>
      </c>
      <c r="F4336" s="123" t="s">
        <v>368</v>
      </c>
      <c r="G4336" s="124">
        <v>5.0000000000000001E-3</v>
      </c>
      <c r="H4336" s="125">
        <f>VLOOKUP(D4336,Upah,8,FALSE)</f>
        <v>170000</v>
      </c>
      <c r="I4336" s="126">
        <f>G4336*H4336</f>
        <v>850</v>
      </c>
    </row>
    <row r="4337" spans="2:10" ht="15.95" customHeight="1" thickBot="1" x14ac:dyDescent="0.3">
      <c r="C4337" s="132"/>
      <c r="D4337" s="133"/>
      <c r="E4337" s="134"/>
      <c r="F4337" s="134"/>
      <c r="G4337" s="135" t="s">
        <v>375</v>
      </c>
      <c r="H4337" s="136"/>
      <c r="I4337" s="137">
        <f>SUM(I4333:I4336)</f>
        <v>31375</v>
      </c>
    </row>
    <row r="4338" spans="2:10" ht="15.95" customHeight="1" x14ac:dyDescent="0.25">
      <c r="C4338" s="116" t="s">
        <v>376</v>
      </c>
      <c r="D4338" s="117" t="s">
        <v>377</v>
      </c>
      <c r="E4338" s="118"/>
      <c r="F4338" s="118"/>
      <c r="G4338" s="165"/>
      <c r="H4338" s="144"/>
      <c r="I4338" s="126"/>
    </row>
    <row r="4339" spans="2:10" ht="15.95" customHeight="1" x14ac:dyDescent="0.25">
      <c r="C4339" s="122"/>
      <c r="D4339" s="117" t="s">
        <v>1066</v>
      </c>
      <c r="E4339" s="118"/>
      <c r="F4339" s="123" t="s">
        <v>418</v>
      </c>
      <c r="G4339" s="124">
        <v>5.3</v>
      </c>
      <c r="H4339" s="144">
        <f>VLOOKUP(D4339,Bahan,6,FALSE)</f>
        <v>8130</v>
      </c>
      <c r="I4339" s="126">
        <f>G4339*H4339</f>
        <v>43089</v>
      </c>
    </row>
    <row r="4340" spans="2:10" ht="15.95" customHeight="1" x14ac:dyDescent="0.25">
      <c r="C4340" s="122"/>
      <c r="D4340" s="117" t="s">
        <v>380</v>
      </c>
      <c r="E4340" s="118"/>
      <c r="F4340" s="123" t="s">
        <v>159</v>
      </c>
      <c r="G4340" s="124">
        <v>1.1399999999999999</v>
      </c>
      <c r="H4340" s="144">
        <f>VLOOKUP(D4340,Bahan,6,FALSE)</f>
        <v>1880</v>
      </c>
      <c r="I4340" s="126">
        <f>G4340*H4340</f>
        <v>2143.1999999999998</v>
      </c>
    </row>
    <row r="4341" spans="2:10" ht="15.95" customHeight="1" x14ac:dyDescent="0.25">
      <c r="C4341" s="122"/>
      <c r="D4341" s="117" t="s">
        <v>493</v>
      </c>
      <c r="E4341" s="118"/>
      <c r="F4341" s="123" t="s">
        <v>489</v>
      </c>
      <c r="G4341" s="124">
        <v>3.0000000000000001E-3</v>
      </c>
      <c r="H4341" s="144">
        <f>VLOOKUP(D4341,Bahan,6,FALSE)</f>
        <v>253510</v>
      </c>
      <c r="I4341" s="126">
        <f>G4341*H4341</f>
        <v>760.53</v>
      </c>
    </row>
    <row r="4342" spans="2:10" ht="15.95" customHeight="1" thickBot="1" x14ac:dyDescent="0.3">
      <c r="C4342" s="122"/>
      <c r="D4342" s="117" t="s">
        <v>960</v>
      </c>
      <c r="E4342" s="118"/>
      <c r="F4342" s="123" t="s">
        <v>159</v>
      </c>
      <c r="G4342" s="124">
        <v>2.5000000000000001E-2</v>
      </c>
      <c r="H4342" s="144">
        <f>VLOOKUP(D4342,Bahan,6,FALSE)</f>
        <v>2460</v>
      </c>
      <c r="I4342" s="126">
        <f>G4342*H4342</f>
        <v>61.5</v>
      </c>
    </row>
    <row r="4343" spans="2:10" ht="15.95" customHeight="1" thickBot="1" x14ac:dyDescent="0.3">
      <c r="C4343" s="132"/>
      <c r="D4343" s="133"/>
      <c r="E4343" s="134"/>
      <c r="F4343" s="134"/>
      <c r="G4343" s="135" t="s">
        <v>386</v>
      </c>
      <c r="H4343" s="136"/>
      <c r="I4343" s="137">
        <f>SUM(I4339:I4342)</f>
        <v>46054.229999999996</v>
      </c>
    </row>
    <row r="4344" spans="2:10" ht="15.95" customHeight="1" thickBot="1" x14ac:dyDescent="0.3">
      <c r="C4344" s="116" t="s">
        <v>387</v>
      </c>
      <c r="D4344" s="117" t="s">
        <v>388</v>
      </c>
      <c r="E4344" s="118"/>
      <c r="F4344" s="118"/>
      <c r="G4344" s="165"/>
      <c r="H4344" s="144">
        <f>IF(AND(D4344&lt;&gt;"",F4344&lt;&gt;""),IF(C4344="",IF(F4344="OH",VLOOKUP(D4344,[1]UPAH!$B$3:$G$32,7,0),VLOOKUP(D4344,[1]BAHAN!$A$2:$D$3,4,0)),0),0)</f>
        <v>0</v>
      </c>
      <c r="I4344" s="126">
        <f>G4344*H4344</f>
        <v>0</v>
      </c>
    </row>
    <row r="4345" spans="2:10" ht="15.95" customHeight="1" thickBot="1" x14ac:dyDescent="0.3">
      <c r="C4345" s="132"/>
      <c r="D4345" s="133"/>
      <c r="E4345" s="134"/>
      <c r="F4345" s="134"/>
      <c r="G4345" s="135" t="s">
        <v>389</v>
      </c>
      <c r="H4345" s="136"/>
      <c r="I4345" s="137">
        <f>I4344</f>
        <v>0</v>
      </c>
    </row>
    <row r="4346" spans="2:10" ht="15.95" customHeight="1" x14ac:dyDescent="0.25">
      <c r="C4346" s="158" t="s">
        <v>390</v>
      </c>
      <c r="D4346" s="159" t="s">
        <v>391</v>
      </c>
      <c r="E4346" s="160"/>
      <c r="F4346" s="160"/>
      <c r="G4346" s="161"/>
      <c r="H4346" s="162">
        <f>IF(AND(D4346&lt;&gt;"",F4346&lt;&gt;""),IF(C4346="",IF(F4346="OH",VLOOKUP(D4346,[1]UPAH!$B$3:$G$32,7,0),VLOOKUP(D4346,[1]BAHAN!$A$2:$D$3,4,0)),0),0)</f>
        <v>0</v>
      </c>
      <c r="I4346" s="126">
        <f>SUM(I4333:I4345)/2</f>
        <v>77429.23</v>
      </c>
    </row>
    <row r="4347" spans="2:10" ht="15.95" customHeight="1" thickBot="1" x14ac:dyDescent="0.3">
      <c r="C4347" s="147" t="s">
        <v>392</v>
      </c>
      <c r="D4347" s="148" t="s">
        <v>393</v>
      </c>
      <c r="E4347" s="149"/>
      <c r="F4347" s="149"/>
      <c r="G4347" s="164">
        <v>0.1</v>
      </c>
      <c r="H4347" s="151"/>
      <c r="I4347" s="146">
        <f>G4347*I4346</f>
        <v>7742.9229999999998</v>
      </c>
    </row>
    <row r="4348" spans="2:10" ht="15.95" customHeight="1" thickBot="1" x14ac:dyDescent="0.3">
      <c r="C4348" s="111" t="s">
        <v>394</v>
      </c>
      <c r="D4348" s="112" t="s">
        <v>395</v>
      </c>
      <c r="E4348" s="134"/>
      <c r="F4348" s="134"/>
      <c r="G4348" s="156"/>
      <c r="H4348" s="136">
        <f>IF(AND(D4348&lt;&gt;"",F4348&lt;&gt;""),IF(C4348="",IF(F4348="OH",VLOOKUP(D4348,[1]UPAH!$B$3:$G$32,7,0),VLOOKUP(D4348,[1]BAHAN!$A$2:$D$3,4,0)),0),0)</f>
        <v>0</v>
      </c>
      <c r="I4348" s="137">
        <f>ROUNDDOWN(I4346+I4347,0)</f>
        <v>85172</v>
      </c>
    </row>
    <row r="4349" spans="2:10" ht="15.95" customHeight="1" x14ac:dyDescent="0.25">
      <c r="C4349" s="109"/>
      <c r="D4349" s="109"/>
      <c r="G4349" s="157"/>
    </row>
    <row r="4350" spans="2:10" ht="15.95" customHeight="1" thickBot="1" x14ac:dyDescent="0.3">
      <c r="B4350" s="109" t="s">
        <v>1067</v>
      </c>
      <c r="C4350" s="104" t="s">
        <v>1068</v>
      </c>
      <c r="G4350" s="157"/>
      <c r="J4350" s="110">
        <f>I4368</f>
        <v>112932</v>
      </c>
    </row>
    <row r="4351" spans="2:10" ht="15.95" customHeight="1" thickBot="1" x14ac:dyDescent="0.3">
      <c r="C4351" s="111" t="s">
        <v>328</v>
      </c>
      <c r="D4351" s="112" t="s">
        <v>359</v>
      </c>
      <c r="E4351" s="113" t="s">
        <v>360</v>
      </c>
      <c r="F4351" s="113" t="s">
        <v>330</v>
      </c>
      <c r="G4351" s="114" t="s">
        <v>361</v>
      </c>
      <c r="H4351" s="112" t="s">
        <v>362</v>
      </c>
      <c r="I4351" s="115" t="s">
        <v>363</v>
      </c>
    </row>
    <row r="4352" spans="2:10" ht="15.95" customHeight="1" x14ac:dyDescent="0.25">
      <c r="C4352" s="116" t="s">
        <v>364</v>
      </c>
      <c r="D4352" s="117" t="s">
        <v>365</v>
      </c>
      <c r="E4352" s="118"/>
      <c r="F4352" s="118"/>
      <c r="G4352" s="165"/>
      <c r="H4352" s="144"/>
      <c r="I4352" s="126"/>
    </row>
    <row r="4353" spans="3:9" ht="15.95" customHeight="1" x14ac:dyDescent="0.25">
      <c r="C4353" s="122"/>
      <c r="D4353" s="117" t="s">
        <v>366</v>
      </c>
      <c r="E4353" s="123" t="s">
        <v>367</v>
      </c>
      <c r="F4353" s="123" t="s">
        <v>368</v>
      </c>
      <c r="G4353" s="124">
        <v>0.09</v>
      </c>
      <c r="H4353" s="125">
        <f>VLOOKUP(D4353,Upah,8,FALSE)</f>
        <v>125000</v>
      </c>
      <c r="I4353" s="126">
        <f>G4353*H4353</f>
        <v>11250</v>
      </c>
    </row>
    <row r="4354" spans="3:9" ht="15.95" customHeight="1" x14ac:dyDescent="0.25">
      <c r="C4354" s="122"/>
      <c r="D4354" s="117" t="s">
        <v>505</v>
      </c>
      <c r="E4354" s="123" t="s">
        <v>414</v>
      </c>
      <c r="F4354" s="123" t="s">
        <v>368</v>
      </c>
      <c r="G4354" s="124">
        <v>0.09</v>
      </c>
      <c r="H4354" s="125">
        <f>VLOOKUP(D4354,Upah,8,FALSE)</f>
        <v>150000</v>
      </c>
      <c r="I4354" s="126">
        <f>G4354*H4354</f>
        <v>13500</v>
      </c>
    </row>
    <row r="4355" spans="3:9" ht="15.95" customHeight="1" x14ac:dyDescent="0.25">
      <c r="C4355" s="122"/>
      <c r="D4355" s="117" t="s">
        <v>429</v>
      </c>
      <c r="E4355" s="123" t="s">
        <v>372</v>
      </c>
      <c r="F4355" s="123" t="s">
        <v>368</v>
      </c>
      <c r="G4355" s="124">
        <v>3.5000000000000003E-2</v>
      </c>
      <c r="H4355" s="125">
        <f>VLOOKUP(D4355,Upah,8,FALSE)</f>
        <v>165000</v>
      </c>
      <c r="I4355" s="126">
        <f>G4355*H4355</f>
        <v>5775.0000000000009</v>
      </c>
    </row>
    <row r="4356" spans="3:9" ht="15.95" customHeight="1" thickBot="1" x14ac:dyDescent="0.3">
      <c r="C4356" s="122"/>
      <c r="D4356" s="117" t="s">
        <v>373</v>
      </c>
      <c r="E4356" s="123" t="s">
        <v>374</v>
      </c>
      <c r="F4356" s="123" t="s">
        <v>368</v>
      </c>
      <c r="G4356" s="124">
        <v>5.0000000000000001E-3</v>
      </c>
      <c r="H4356" s="125">
        <f>VLOOKUP(D4356,Upah,8,FALSE)</f>
        <v>170000</v>
      </c>
      <c r="I4356" s="126">
        <f>G4356*H4356</f>
        <v>850</v>
      </c>
    </row>
    <row r="4357" spans="3:9" ht="15.95" customHeight="1" thickBot="1" x14ac:dyDescent="0.3">
      <c r="C4357" s="132"/>
      <c r="D4357" s="133"/>
      <c r="E4357" s="134"/>
      <c r="F4357" s="134"/>
      <c r="G4357" s="135" t="s">
        <v>375</v>
      </c>
      <c r="H4357" s="136"/>
      <c r="I4357" s="137">
        <f>SUM(I4353:I4356)</f>
        <v>31375</v>
      </c>
    </row>
    <row r="4358" spans="3:9" ht="15.95" customHeight="1" x14ac:dyDescent="0.25">
      <c r="C4358" s="116" t="s">
        <v>376</v>
      </c>
      <c r="D4358" s="117" t="s">
        <v>377</v>
      </c>
      <c r="E4358" s="118"/>
      <c r="F4358" s="118"/>
      <c r="G4358" s="165"/>
      <c r="H4358" s="144"/>
      <c r="I4358" s="126"/>
    </row>
    <row r="4359" spans="3:9" ht="15.95" customHeight="1" x14ac:dyDescent="0.25">
      <c r="C4359" s="122"/>
      <c r="D4359" s="117" t="s">
        <v>1069</v>
      </c>
      <c r="E4359" s="118"/>
      <c r="F4359" s="123" t="s">
        <v>418</v>
      </c>
      <c r="G4359" s="124">
        <v>10.6</v>
      </c>
      <c r="H4359" s="144">
        <f>VLOOKUP(D4359,Bahan,6,FALSE)</f>
        <v>6440</v>
      </c>
      <c r="I4359" s="126">
        <f>G4359*H4359</f>
        <v>68264</v>
      </c>
    </row>
    <row r="4360" spans="3:9" ht="15.95" customHeight="1" x14ac:dyDescent="0.25">
      <c r="C4360" s="122"/>
      <c r="D4360" s="117" t="s">
        <v>380</v>
      </c>
      <c r="E4360" s="118"/>
      <c r="F4360" s="123" t="s">
        <v>159</v>
      </c>
      <c r="G4360" s="124">
        <v>1.1399999999999999</v>
      </c>
      <c r="H4360" s="144">
        <f>VLOOKUP(D4360,Bahan,6,FALSE)</f>
        <v>1880</v>
      </c>
      <c r="I4360" s="126">
        <f>G4360*H4360</f>
        <v>2143.1999999999998</v>
      </c>
    </row>
    <row r="4361" spans="3:9" ht="15.95" customHeight="1" x14ac:dyDescent="0.25">
      <c r="C4361" s="122"/>
      <c r="D4361" s="117" t="s">
        <v>493</v>
      </c>
      <c r="E4361" s="118"/>
      <c r="F4361" s="123" t="s">
        <v>489</v>
      </c>
      <c r="G4361" s="124">
        <v>3.0000000000000001E-3</v>
      </c>
      <c r="H4361" s="144">
        <f>VLOOKUP(D4361,Bahan,6,FALSE)</f>
        <v>253510</v>
      </c>
      <c r="I4361" s="126">
        <f>G4361*H4361</f>
        <v>760.53</v>
      </c>
    </row>
    <row r="4362" spans="3:9" ht="15.95" customHeight="1" thickBot="1" x14ac:dyDescent="0.3">
      <c r="C4362" s="122"/>
      <c r="D4362" s="117" t="s">
        <v>960</v>
      </c>
      <c r="E4362" s="118"/>
      <c r="F4362" s="123" t="s">
        <v>159</v>
      </c>
      <c r="G4362" s="124">
        <v>0.05</v>
      </c>
      <c r="H4362" s="144">
        <f>VLOOKUP(D4362,Bahan,6,FALSE)</f>
        <v>2460</v>
      </c>
      <c r="I4362" s="126">
        <f>G4362*H4362</f>
        <v>123</v>
      </c>
    </row>
    <row r="4363" spans="3:9" ht="15.95" customHeight="1" thickBot="1" x14ac:dyDescent="0.3">
      <c r="C4363" s="132"/>
      <c r="D4363" s="133"/>
      <c r="E4363" s="134"/>
      <c r="F4363" s="134"/>
      <c r="G4363" s="135" t="s">
        <v>386</v>
      </c>
      <c r="H4363" s="136"/>
      <c r="I4363" s="137">
        <f>SUM(I4359:I4362)</f>
        <v>71290.73</v>
      </c>
    </row>
    <row r="4364" spans="3:9" ht="15.95" customHeight="1" thickBot="1" x14ac:dyDescent="0.3">
      <c r="C4364" s="116" t="s">
        <v>387</v>
      </c>
      <c r="D4364" s="117" t="s">
        <v>388</v>
      </c>
      <c r="E4364" s="118"/>
      <c r="F4364" s="118"/>
      <c r="G4364" s="165"/>
      <c r="H4364" s="144">
        <f>IF(AND(D4364&lt;&gt;"",F4364&lt;&gt;""),IF(C4364="",IF(F4364="OH",VLOOKUP(D4364,[1]UPAH!$B$3:$G$32,7,0),VLOOKUP(D4364,[1]BAHAN!$A$2:$D$3,4,0)),0),0)</f>
        <v>0</v>
      </c>
      <c r="I4364" s="126">
        <f>G4364*H4364</f>
        <v>0</v>
      </c>
    </row>
    <row r="4365" spans="3:9" ht="15.95" customHeight="1" thickBot="1" x14ac:dyDescent="0.3">
      <c r="C4365" s="132"/>
      <c r="D4365" s="133"/>
      <c r="E4365" s="134"/>
      <c r="F4365" s="134"/>
      <c r="G4365" s="135" t="s">
        <v>389</v>
      </c>
      <c r="H4365" s="136"/>
      <c r="I4365" s="137">
        <f>I4364</f>
        <v>0</v>
      </c>
    </row>
    <row r="4366" spans="3:9" ht="15.95" customHeight="1" x14ac:dyDescent="0.25">
      <c r="C4366" s="158" t="s">
        <v>390</v>
      </c>
      <c r="D4366" s="159" t="s">
        <v>391</v>
      </c>
      <c r="E4366" s="160"/>
      <c r="F4366" s="160"/>
      <c r="G4366" s="161"/>
      <c r="H4366" s="162">
        <f>IF(AND(D4366&lt;&gt;"",F4366&lt;&gt;""),IF(C4366="",IF(F4366="OH",VLOOKUP(D4366,[1]UPAH!$B$3:$G$32,7,0),VLOOKUP(D4366,[1]BAHAN!$A$2:$D$3,4,0)),0),0)</f>
        <v>0</v>
      </c>
      <c r="I4366" s="126">
        <f>SUM(I4353:I4365)/2</f>
        <v>102665.73000000001</v>
      </c>
    </row>
    <row r="4367" spans="3:9" ht="15.95" customHeight="1" thickBot="1" x14ac:dyDescent="0.3">
      <c r="C4367" s="147" t="s">
        <v>392</v>
      </c>
      <c r="D4367" s="148" t="s">
        <v>393</v>
      </c>
      <c r="E4367" s="149"/>
      <c r="F4367" s="149"/>
      <c r="G4367" s="164">
        <v>0.1</v>
      </c>
      <c r="H4367" s="151"/>
      <c r="I4367" s="146">
        <f>G4367*I4366</f>
        <v>10266.573000000002</v>
      </c>
    </row>
    <row r="4368" spans="3:9" ht="15.95" customHeight="1" thickBot="1" x14ac:dyDescent="0.3">
      <c r="C4368" s="111" t="s">
        <v>394</v>
      </c>
      <c r="D4368" s="112" t="s">
        <v>395</v>
      </c>
      <c r="E4368" s="134"/>
      <c r="F4368" s="134"/>
      <c r="G4368" s="156"/>
      <c r="H4368" s="136">
        <f>IF(AND(D4368&lt;&gt;"",F4368&lt;&gt;""),IF(C4368="",IF(F4368="OH",VLOOKUP(D4368,[1]UPAH!$B$3:$G$32,7,0),VLOOKUP(D4368,[1]BAHAN!$A$2:$D$3,4,0)),0),0)</f>
        <v>0</v>
      </c>
      <c r="I4368" s="137">
        <f>ROUNDDOWN(I4366+I4367,0)</f>
        <v>112932</v>
      </c>
    </row>
    <row r="4369" spans="2:10" ht="15.95" customHeight="1" x14ac:dyDescent="0.25">
      <c r="C4369" s="109"/>
      <c r="D4369" s="109"/>
      <c r="G4369" s="157"/>
    </row>
    <row r="4370" spans="2:10" ht="15.95" customHeight="1" thickBot="1" x14ac:dyDescent="0.3">
      <c r="B4370" s="109" t="s">
        <v>1070</v>
      </c>
      <c r="C4370" s="104" t="s">
        <v>1071</v>
      </c>
      <c r="G4370" s="157"/>
      <c r="J4370" s="110">
        <f>I4388</f>
        <v>68967</v>
      </c>
    </row>
    <row r="4371" spans="2:10" ht="15.95" customHeight="1" thickBot="1" x14ac:dyDescent="0.3">
      <c r="C4371" s="111" t="s">
        <v>328</v>
      </c>
      <c r="D4371" s="112" t="s">
        <v>359</v>
      </c>
      <c r="E4371" s="113" t="s">
        <v>360</v>
      </c>
      <c r="F4371" s="113" t="s">
        <v>330</v>
      </c>
      <c r="G4371" s="114" t="s">
        <v>361</v>
      </c>
      <c r="H4371" s="112" t="s">
        <v>362</v>
      </c>
      <c r="I4371" s="115" t="s">
        <v>363</v>
      </c>
    </row>
    <row r="4372" spans="2:10" ht="15.95" customHeight="1" x14ac:dyDescent="0.25">
      <c r="C4372" s="116" t="s">
        <v>364</v>
      </c>
      <c r="D4372" s="117" t="s">
        <v>365</v>
      </c>
      <c r="E4372" s="118"/>
      <c r="F4372" s="118"/>
      <c r="G4372" s="165"/>
      <c r="H4372" s="144"/>
      <c r="I4372" s="126"/>
    </row>
    <row r="4373" spans="2:10" ht="15.95" customHeight="1" x14ac:dyDescent="0.25">
      <c r="C4373" s="122"/>
      <c r="D4373" s="117" t="s">
        <v>366</v>
      </c>
      <c r="E4373" s="123" t="s">
        <v>367</v>
      </c>
      <c r="F4373" s="123" t="s">
        <v>368</v>
      </c>
      <c r="G4373" s="124">
        <v>0.09</v>
      </c>
      <c r="H4373" s="125">
        <f>VLOOKUP(D4373,Upah,8,FALSE)</f>
        <v>125000</v>
      </c>
      <c r="I4373" s="126">
        <f>G4373*H4373</f>
        <v>11250</v>
      </c>
    </row>
    <row r="4374" spans="2:10" ht="15.95" customHeight="1" x14ac:dyDescent="0.25">
      <c r="C4374" s="122"/>
      <c r="D4374" s="117" t="s">
        <v>505</v>
      </c>
      <c r="E4374" s="123" t="s">
        <v>414</v>
      </c>
      <c r="F4374" s="123" t="s">
        <v>368</v>
      </c>
      <c r="G4374" s="124">
        <v>0.09</v>
      </c>
      <c r="H4374" s="125">
        <f>VLOOKUP(D4374,Upah,8,FALSE)</f>
        <v>150000</v>
      </c>
      <c r="I4374" s="126">
        <f>G4374*H4374</f>
        <v>13500</v>
      </c>
    </row>
    <row r="4375" spans="2:10" ht="15.95" customHeight="1" x14ac:dyDescent="0.25">
      <c r="C4375" s="122"/>
      <c r="D4375" s="117" t="s">
        <v>429</v>
      </c>
      <c r="E4375" s="123" t="s">
        <v>372</v>
      </c>
      <c r="F4375" s="123" t="s">
        <v>368</v>
      </c>
      <c r="G4375" s="124">
        <v>3.5000000000000003E-2</v>
      </c>
      <c r="H4375" s="125">
        <f>VLOOKUP(D4375,Upah,8,FALSE)</f>
        <v>165000</v>
      </c>
      <c r="I4375" s="126">
        <f>G4375*H4375</f>
        <v>5775.0000000000009</v>
      </c>
    </row>
    <row r="4376" spans="2:10" ht="15.95" customHeight="1" thickBot="1" x14ac:dyDescent="0.3">
      <c r="C4376" s="122"/>
      <c r="D4376" s="117" t="s">
        <v>373</v>
      </c>
      <c r="E4376" s="123" t="s">
        <v>374</v>
      </c>
      <c r="F4376" s="123" t="s">
        <v>368</v>
      </c>
      <c r="G4376" s="124">
        <v>5.0000000000000001E-3</v>
      </c>
      <c r="H4376" s="125">
        <f>VLOOKUP(D4376,Upah,8,FALSE)</f>
        <v>170000</v>
      </c>
      <c r="I4376" s="126">
        <f>G4376*H4376</f>
        <v>850</v>
      </c>
    </row>
    <row r="4377" spans="2:10" ht="15.95" customHeight="1" thickBot="1" x14ac:dyDescent="0.3">
      <c r="C4377" s="132"/>
      <c r="D4377" s="133"/>
      <c r="E4377" s="134"/>
      <c r="F4377" s="134"/>
      <c r="G4377" s="135" t="s">
        <v>375</v>
      </c>
      <c r="H4377" s="136"/>
      <c r="I4377" s="137">
        <f>SUM(I4373:I4376)</f>
        <v>31375</v>
      </c>
    </row>
    <row r="4378" spans="2:10" ht="15.95" customHeight="1" x14ac:dyDescent="0.25">
      <c r="C4378" s="116" t="s">
        <v>376</v>
      </c>
      <c r="D4378" s="117" t="s">
        <v>377</v>
      </c>
      <c r="E4378" s="118"/>
      <c r="F4378" s="118"/>
      <c r="G4378" s="165"/>
      <c r="H4378" s="144"/>
      <c r="I4378" s="126"/>
    </row>
    <row r="4379" spans="2:10" ht="15.95" customHeight="1" x14ac:dyDescent="0.25">
      <c r="C4379" s="122"/>
      <c r="D4379" s="117" t="s">
        <v>1072</v>
      </c>
      <c r="E4379" s="118"/>
      <c r="F4379" s="123" t="s">
        <v>418</v>
      </c>
      <c r="G4379" s="124">
        <v>5.3</v>
      </c>
      <c r="H4379" s="144">
        <f>VLOOKUP(D4379,Bahan,6,FALSE)</f>
        <v>5630</v>
      </c>
      <c r="I4379" s="126">
        <f>G4379*H4379</f>
        <v>29839</v>
      </c>
    </row>
    <row r="4380" spans="2:10" ht="15.95" customHeight="1" x14ac:dyDescent="0.25">
      <c r="C4380" s="122"/>
      <c r="D4380" s="117" t="s">
        <v>380</v>
      </c>
      <c r="E4380" s="118"/>
      <c r="F4380" s="123" t="s">
        <v>159</v>
      </c>
      <c r="G4380" s="124">
        <v>0.56999999999999995</v>
      </c>
      <c r="H4380" s="144">
        <f>VLOOKUP(D4380,Bahan,6,FALSE)</f>
        <v>1880</v>
      </c>
      <c r="I4380" s="126">
        <f>G4380*H4380</f>
        <v>1071.5999999999999</v>
      </c>
    </row>
    <row r="4381" spans="2:10" ht="15.95" customHeight="1" x14ac:dyDescent="0.25">
      <c r="C4381" s="122"/>
      <c r="D4381" s="117" t="s">
        <v>493</v>
      </c>
      <c r="E4381" s="118"/>
      <c r="F4381" s="123" t="s">
        <v>489</v>
      </c>
      <c r="G4381" s="124">
        <v>1.5E-3</v>
      </c>
      <c r="H4381" s="144">
        <f>VLOOKUP(D4381,Bahan,6,FALSE)</f>
        <v>253510</v>
      </c>
      <c r="I4381" s="126">
        <f>G4381*H4381</f>
        <v>380.26499999999999</v>
      </c>
    </row>
    <row r="4382" spans="2:10" ht="15.95" customHeight="1" thickBot="1" x14ac:dyDescent="0.3">
      <c r="C4382" s="122"/>
      <c r="D4382" s="117" t="s">
        <v>960</v>
      </c>
      <c r="E4382" s="118"/>
      <c r="F4382" s="123" t="s">
        <v>159</v>
      </c>
      <c r="G4382" s="124">
        <v>1.2999999999999999E-2</v>
      </c>
      <c r="H4382" s="144">
        <f>VLOOKUP(D4382,Bahan,6,FALSE)</f>
        <v>2460</v>
      </c>
      <c r="I4382" s="126">
        <f>G4382*H4382</f>
        <v>31.979999999999997</v>
      </c>
    </row>
    <row r="4383" spans="2:10" ht="15.95" customHeight="1" thickBot="1" x14ac:dyDescent="0.3">
      <c r="C4383" s="132"/>
      <c r="D4383" s="133"/>
      <c r="E4383" s="134"/>
      <c r="F4383" s="134"/>
      <c r="G4383" s="135" t="s">
        <v>386</v>
      </c>
      <c r="H4383" s="136"/>
      <c r="I4383" s="137">
        <f>SUM(I4379:I4382)</f>
        <v>31322.844999999998</v>
      </c>
    </row>
    <row r="4384" spans="2:10" ht="15.95" customHeight="1" thickBot="1" x14ac:dyDescent="0.3">
      <c r="C4384" s="116" t="s">
        <v>387</v>
      </c>
      <c r="D4384" s="117" t="s">
        <v>388</v>
      </c>
      <c r="E4384" s="118"/>
      <c r="F4384" s="118"/>
      <c r="G4384" s="165"/>
      <c r="H4384" s="144">
        <f>IF(AND(D4384&lt;&gt;"",F4384&lt;&gt;""),IF(C4384="",IF(F4384="OH",VLOOKUP(D4384,[1]UPAH!$B$3:$G$32,7,0),VLOOKUP(D4384,[1]BAHAN!$A$2:$D$3,4,0)),0),0)</f>
        <v>0</v>
      </c>
      <c r="I4384" s="126">
        <f>G4384*H4384</f>
        <v>0</v>
      </c>
    </row>
    <row r="4385" spans="2:10" ht="15.95" customHeight="1" thickBot="1" x14ac:dyDescent="0.3">
      <c r="C4385" s="132"/>
      <c r="D4385" s="133"/>
      <c r="E4385" s="134"/>
      <c r="F4385" s="134"/>
      <c r="G4385" s="135" t="s">
        <v>389</v>
      </c>
      <c r="H4385" s="136"/>
      <c r="I4385" s="137">
        <f>I4384</f>
        <v>0</v>
      </c>
    </row>
    <row r="4386" spans="2:10" ht="15.95" customHeight="1" x14ac:dyDescent="0.25">
      <c r="C4386" s="158" t="s">
        <v>390</v>
      </c>
      <c r="D4386" s="159" t="s">
        <v>391</v>
      </c>
      <c r="E4386" s="160"/>
      <c r="F4386" s="160"/>
      <c r="G4386" s="161"/>
      <c r="H4386" s="162">
        <f>IF(AND(D4386&lt;&gt;"",F4386&lt;&gt;""),IF(C4386="",IF(F4386="OH",VLOOKUP(D4386,[1]UPAH!$B$3:$G$32,7,0),VLOOKUP(D4386,[1]BAHAN!$A$2:$D$3,4,0)),0),0)</f>
        <v>0</v>
      </c>
      <c r="I4386" s="126">
        <f>SUM(I4373:I4385)/2</f>
        <v>62697.845000000001</v>
      </c>
    </row>
    <row r="4387" spans="2:10" ht="15.95" customHeight="1" thickBot="1" x14ac:dyDescent="0.3">
      <c r="C4387" s="147" t="s">
        <v>392</v>
      </c>
      <c r="D4387" s="148" t="s">
        <v>393</v>
      </c>
      <c r="E4387" s="149"/>
      <c r="F4387" s="149"/>
      <c r="G4387" s="164">
        <v>0.1</v>
      </c>
      <c r="H4387" s="151"/>
      <c r="I4387" s="146">
        <f>G4387*I4386</f>
        <v>6269.7845000000007</v>
      </c>
    </row>
    <row r="4388" spans="2:10" ht="15.95" customHeight="1" thickBot="1" x14ac:dyDescent="0.3">
      <c r="C4388" s="111" t="s">
        <v>394</v>
      </c>
      <c r="D4388" s="112" t="s">
        <v>395</v>
      </c>
      <c r="E4388" s="134"/>
      <c r="F4388" s="134"/>
      <c r="G4388" s="156"/>
      <c r="H4388" s="136">
        <f>IF(AND(D4388&lt;&gt;"",F4388&lt;&gt;""),IF(C4388="",IF(F4388="OH",VLOOKUP(D4388,[1]UPAH!$B$3:$G$32,7,0),VLOOKUP(D4388,[1]BAHAN!$A$2:$D$3,4,0)),0),0)</f>
        <v>0</v>
      </c>
      <c r="I4388" s="137">
        <f>ROUNDDOWN(I4386+I4387,0)</f>
        <v>68967</v>
      </c>
    </row>
    <row r="4389" spans="2:10" ht="15.95" customHeight="1" x14ac:dyDescent="0.25">
      <c r="C4389" s="109"/>
      <c r="D4389" s="109"/>
      <c r="G4389" s="157"/>
    </row>
    <row r="4390" spans="2:10" ht="15.95" customHeight="1" thickBot="1" x14ac:dyDescent="0.3">
      <c r="B4390" s="109" t="s">
        <v>1073</v>
      </c>
      <c r="C4390" s="104" t="s">
        <v>1074</v>
      </c>
      <c r="G4390" s="157"/>
      <c r="J4390" s="110">
        <f>I4408</f>
        <v>282307</v>
      </c>
    </row>
    <row r="4391" spans="2:10" ht="15.95" customHeight="1" thickBot="1" x14ac:dyDescent="0.3">
      <c r="C4391" s="111" t="s">
        <v>328</v>
      </c>
      <c r="D4391" s="112" t="s">
        <v>359</v>
      </c>
      <c r="E4391" s="113" t="s">
        <v>360</v>
      </c>
      <c r="F4391" s="113" t="s">
        <v>330</v>
      </c>
      <c r="G4391" s="114" t="s">
        <v>361</v>
      </c>
      <c r="H4391" s="112" t="s">
        <v>362</v>
      </c>
      <c r="I4391" s="115" t="s">
        <v>363</v>
      </c>
    </row>
    <row r="4392" spans="2:10" ht="15.95" customHeight="1" x14ac:dyDescent="0.25">
      <c r="C4392" s="116" t="s">
        <v>364</v>
      </c>
      <c r="D4392" s="117" t="s">
        <v>365</v>
      </c>
      <c r="E4392" s="118"/>
      <c r="F4392" s="118"/>
      <c r="G4392" s="165"/>
      <c r="H4392" s="144"/>
      <c r="I4392" s="126"/>
    </row>
    <row r="4393" spans="2:10" ht="15.95" customHeight="1" x14ac:dyDescent="0.25">
      <c r="C4393" s="122"/>
      <c r="D4393" s="117" t="s">
        <v>366</v>
      </c>
      <c r="E4393" s="123" t="s">
        <v>367</v>
      </c>
      <c r="F4393" s="123" t="s">
        <v>368</v>
      </c>
      <c r="G4393" s="124">
        <v>0.75</v>
      </c>
      <c r="H4393" s="125">
        <f>VLOOKUP(D4393,Upah,8,FALSE)</f>
        <v>125000</v>
      </c>
      <c r="I4393" s="126">
        <f>G4393*H4393</f>
        <v>93750</v>
      </c>
    </row>
    <row r="4394" spans="2:10" ht="15.95" customHeight="1" x14ac:dyDescent="0.25">
      <c r="C4394" s="122"/>
      <c r="D4394" s="117" t="s">
        <v>505</v>
      </c>
      <c r="E4394" s="123" t="s">
        <v>414</v>
      </c>
      <c r="F4394" s="123" t="s">
        <v>368</v>
      </c>
      <c r="G4394" s="124">
        <v>0.75</v>
      </c>
      <c r="H4394" s="125">
        <f>VLOOKUP(D4394,Upah,8,FALSE)</f>
        <v>150000</v>
      </c>
      <c r="I4394" s="126">
        <f>G4394*H4394</f>
        <v>112500</v>
      </c>
    </row>
    <row r="4395" spans="2:10" ht="15.95" customHeight="1" x14ac:dyDescent="0.25">
      <c r="C4395" s="122"/>
      <c r="D4395" s="117" t="s">
        <v>429</v>
      </c>
      <c r="E4395" s="123" t="s">
        <v>372</v>
      </c>
      <c r="F4395" s="123" t="s">
        <v>368</v>
      </c>
      <c r="G4395" s="124">
        <v>7.4999999999999997E-2</v>
      </c>
      <c r="H4395" s="125">
        <f>VLOOKUP(D4395,Upah,8,FALSE)</f>
        <v>165000</v>
      </c>
      <c r="I4395" s="126">
        <f>G4395*H4395</f>
        <v>12375</v>
      </c>
    </row>
    <row r="4396" spans="2:10" ht="15.95" customHeight="1" thickBot="1" x14ac:dyDescent="0.3">
      <c r="C4396" s="122"/>
      <c r="D4396" s="117" t="s">
        <v>373</v>
      </c>
      <c r="E4396" s="123" t="s">
        <v>374</v>
      </c>
      <c r="F4396" s="123" t="s">
        <v>368</v>
      </c>
      <c r="G4396" s="124">
        <v>3.7999999999999999E-2</v>
      </c>
      <c r="H4396" s="125">
        <f>VLOOKUP(D4396,Upah,8,FALSE)</f>
        <v>170000</v>
      </c>
      <c r="I4396" s="126">
        <f>G4396*H4396</f>
        <v>6460</v>
      </c>
    </row>
    <row r="4397" spans="2:10" ht="15.95" customHeight="1" thickBot="1" x14ac:dyDescent="0.3">
      <c r="C4397" s="132"/>
      <c r="D4397" s="133"/>
      <c r="E4397" s="134"/>
      <c r="F4397" s="134"/>
      <c r="G4397" s="135" t="s">
        <v>375</v>
      </c>
      <c r="H4397" s="136"/>
      <c r="I4397" s="137">
        <f>SUM(I4393:I4396)</f>
        <v>225085</v>
      </c>
    </row>
    <row r="4398" spans="2:10" ht="15.95" customHeight="1" x14ac:dyDescent="0.25">
      <c r="C4398" s="116" t="s">
        <v>376</v>
      </c>
      <c r="D4398" s="117" t="s">
        <v>377</v>
      </c>
      <c r="E4398" s="118"/>
      <c r="F4398" s="118"/>
      <c r="G4398" s="165"/>
      <c r="H4398" s="144"/>
      <c r="I4398" s="126"/>
    </row>
    <row r="4399" spans="2:10" ht="15.95" customHeight="1" x14ac:dyDescent="0.25">
      <c r="C4399" s="122"/>
      <c r="D4399" s="117" t="s">
        <v>1075</v>
      </c>
      <c r="E4399" s="118"/>
      <c r="F4399" s="123" t="s">
        <v>418</v>
      </c>
      <c r="G4399" s="124">
        <v>5.3</v>
      </c>
      <c r="H4399" s="144">
        <f>VLOOKUP(D4399,Bahan,6,FALSE)</f>
        <v>5360</v>
      </c>
      <c r="I4399" s="126">
        <f>G4399*H4399</f>
        <v>28408</v>
      </c>
    </row>
    <row r="4400" spans="2:10" ht="15.95" customHeight="1" x14ac:dyDescent="0.25">
      <c r="C4400" s="122"/>
      <c r="D4400" s="117" t="s">
        <v>380</v>
      </c>
      <c r="E4400" s="118"/>
      <c r="F4400" s="123" t="s">
        <v>159</v>
      </c>
      <c r="G4400" s="124">
        <v>1.1399999999999999</v>
      </c>
      <c r="H4400" s="144">
        <f>VLOOKUP(D4400,Bahan,6,FALSE)</f>
        <v>1880</v>
      </c>
      <c r="I4400" s="126">
        <f>G4400*H4400</f>
        <v>2143.1999999999998</v>
      </c>
    </row>
    <row r="4401" spans="2:10" ht="15.95" customHeight="1" x14ac:dyDescent="0.25">
      <c r="C4401" s="122"/>
      <c r="D4401" s="117" t="s">
        <v>493</v>
      </c>
      <c r="E4401" s="118"/>
      <c r="F4401" s="123" t="s">
        <v>489</v>
      </c>
      <c r="G4401" s="124">
        <v>3.0000000000000001E-3</v>
      </c>
      <c r="H4401" s="144">
        <f>VLOOKUP(D4401,Bahan,6,FALSE)</f>
        <v>253510</v>
      </c>
      <c r="I4401" s="126">
        <f>G4401*H4401</f>
        <v>760.53</v>
      </c>
    </row>
    <row r="4402" spans="2:10" ht="15.95" customHeight="1" thickBot="1" x14ac:dyDescent="0.3">
      <c r="C4402" s="122"/>
      <c r="D4402" s="117" t="s">
        <v>960</v>
      </c>
      <c r="E4402" s="118"/>
      <c r="F4402" s="123" t="s">
        <v>159</v>
      </c>
      <c r="G4402" s="124">
        <v>0.1</v>
      </c>
      <c r="H4402" s="144">
        <f>VLOOKUP(D4402,Bahan,6,FALSE)</f>
        <v>2460</v>
      </c>
      <c r="I4402" s="126">
        <f>G4402*H4402</f>
        <v>246</v>
      </c>
    </row>
    <row r="4403" spans="2:10" ht="15.95" customHeight="1" thickBot="1" x14ac:dyDescent="0.3">
      <c r="C4403" s="132"/>
      <c r="D4403" s="133"/>
      <c r="E4403" s="134"/>
      <c r="F4403" s="134"/>
      <c r="G4403" s="135" t="s">
        <v>386</v>
      </c>
      <c r="H4403" s="136"/>
      <c r="I4403" s="137">
        <f>SUM(I4399:I4402)</f>
        <v>31557.73</v>
      </c>
    </row>
    <row r="4404" spans="2:10" ht="15.95" customHeight="1" thickBot="1" x14ac:dyDescent="0.3">
      <c r="C4404" s="116" t="s">
        <v>387</v>
      </c>
      <c r="D4404" s="117" t="s">
        <v>388</v>
      </c>
      <c r="E4404" s="118"/>
      <c r="F4404" s="118"/>
      <c r="G4404" s="165"/>
      <c r="H4404" s="144">
        <f>IF(AND(D4404&lt;&gt;"",F4404&lt;&gt;""),IF(C4404="",IF(F4404="OH",VLOOKUP(D4404,[1]UPAH!$B$3:$G$32,7,0),VLOOKUP(D4404,[1]BAHAN!$A$2:$D$3,4,0)),0),0)</f>
        <v>0</v>
      </c>
      <c r="I4404" s="126">
        <f>G4404*H4404</f>
        <v>0</v>
      </c>
    </row>
    <row r="4405" spans="2:10" ht="15.95" customHeight="1" thickBot="1" x14ac:dyDescent="0.3">
      <c r="C4405" s="132"/>
      <c r="D4405" s="133"/>
      <c r="E4405" s="134"/>
      <c r="F4405" s="134"/>
      <c r="G4405" s="135" t="s">
        <v>389</v>
      </c>
      <c r="H4405" s="136"/>
      <c r="I4405" s="137">
        <f>I4404</f>
        <v>0</v>
      </c>
    </row>
    <row r="4406" spans="2:10" ht="15.95" customHeight="1" x14ac:dyDescent="0.25">
      <c r="C4406" s="158" t="s">
        <v>390</v>
      </c>
      <c r="D4406" s="159" t="s">
        <v>391</v>
      </c>
      <c r="E4406" s="160"/>
      <c r="F4406" s="160"/>
      <c r="G4406" s="161"/>
      <c r="H4406" s="162">
        <f>IF(AND(D4406&lt;&gt;"",F4406&lt;&gt;""),IF(C4406="",IF(F4406="OH",VLOOKUP(D4406,[1]UPAH!$B$3:$G$32,7,0),VLOOKUP(D4406,[1]BAHAN!$A$2:$D$3,4,0)),0),0)</f>
        <v>0</v>
      </c>
      <c r="I4406" s="126">
        <f>SUM(I4393:I4405)/2</f>
        <v>256642.73</v>
      </c>
    </row>
    <row r="4407" spans="2:10" ht="15.95" customHeight="1" thickBot="1" x14ac:dyDescent="0.3">
      <c r="C4407" s="147" t="s">
        <v>392</v>
      </c>
      <c r="D4407" s="148" t="s">
        <v>393</v>
      </c>
      <c r="E4407" s="149"/>
      <c r="F4407" s="149"/>
      <c r="G4407" s="164">
        <v>0.1</v>
      </c>
      <c r="H4407" s="151"/>
      <c r="I4407" s="146">
        <f>G4407*I4406</f>
        <v>25664.273000000001</v>
      </c>
    </row>
    <row r="4408" spans="2:10" ht="15.95" customHeight="1" thickBot="1" x14ac:dyDescent="0.3">
      <c r="C4408" s="111" t="s">
        <v>394</v>
      </c>
      <c r="D4408" s="112" t="s">
        <v>395</v>
      </c>
      <c r="E4408" s="134"/>
      <c r="F4408" s="134"/>
      <c r="G4408" s="156"/>
      <c r="H4408" s="136">
        <f>IF(AND(D4408&lt;&gt;"",F4408&lt;&gt;""),IF(C4408="",IF(F4408="OH",VLOOKUP(D4408,[1]UPAH!$B$3:$G$32,7,0),VLOOKUP(D4408,[1]BAHAN!$A$2:$D$3,4,0)),0),0)</f>
        <v>0</v>
      </c>
      <c r="I4408" s="137">
        <f>ROUNDDOWN(I4406+I4407,0)</f>
        <v>282307</v>
      </c>
    </row>
    <row r="4409" spans="2:10" ht="15.95" customHeight="1" x14ac:dyDescent="0.25">
      <c r="C4409" s="109"/>
      <c r="D4409" s="109"/>
      <c r="G4409" s="157"/>
    </row>
    <row r="4410" spans="2:10" ht="15.95" customHeight="1" thickBot="1" x14ac:dyDescent="0.3">
      <c r="B4410" s="109" t="s">
        <v>1076</v>
      </c>
      <c r="C4410" s="104" t="s">
        <v>1077</v>
      </c>
      <c r="G4410" s="157"/>
      <c r="J4410" s="110">
        <f>I4428</f>
        <v>278619</v>
      </c>
    </row>
    <row r="4411" spans="2:10" ht="15.95" customHeight="1" thickBot="1" x14ac:dyDescent="0.3">
      <c r="C4411" s="111" t="s">
        <v>328</v>
      </c>
      <c r="D4411" s="112" t="s">
        <v>359</v>
      </c>
      <c r="E4411" s="113" t="s">
        <v>360</v>
      </c>
      <c r="F4411" s="113" t="s">
        <v>330</v>
      </c>
      <c r="G4411" s="114" t="s">
        <v>361</v>
      </c>
      <c r="H4411" s="112" t="s">
        <v>362</v>
      </c>
      <c r="I4411" s="115" t="s">
        <v>363</v>
      </c>
    </row>
    <row r="4412" spans="2:10" ht="15.95" customHeight="1" x14ac:dyDescent="0.25">
      <c r="C4412" s="116" t="s">
        <v>364</v>
      </c>
      <c r="D4412" s="117" t="s">
        <v>365</v>
      </c>
      <c r="E4412" s="118"/>
      <c r="F4412" s="118"/>
      <c r="G4412" s="165"/>
      <c r="H4412" s="144"/>
      <c r="I4412" s="126"/>
    </row>
    <row r="4413" spans="2:10" ht="15.95" customHeight="1" x14ac:dyDescent="0.25">
      <c r="C4413" s="122"/>
      <c r="D4413" s="117" t="s">
        <v>366</v>
      </c>
      <c r="E4413" s="123" t="s">
        <v>367</v>
      </c>
      <c r="F4413" s="123" t="s">
        <v>368</v>
      </c>
      <c r="G4413" s="124">
        <v>0.7</v>
      </c>
      <c r="H4413" s="125">
        <f>VLOOKUP(D4413,Upah,8,FALSE)</f>
        <v>125000</v>
      </c>
      <c r="I4413" s="126">
        <f>G4413*H4413</f>
        <v>87500</v>
      </c>
    </row>
    <row r="4414" spans="2:10" ht="15.95" customHeight="1" x14ac:dyDescent="0.25">
      <c r="C4414" s="122"/>
      <c r="D4414" s="117" t="s">
        <v>505</v>
      </c>
      <c r="E4414" s="123" t="s">
        <v>414</v>
      </c>
      <c r="F4414" s="123" t="s">
        <v>368</v>
      </c>
      <c r="G4414" s="124">
        <v>0.35</v>
      </c>
      <c r="H4414" s="125">
        <f>VLOOKUP(D4414,Upah,8,FALSE)</f>
        <v>150000</v>
      </c>
      <c r="I4414" s="126">
        <f>G4414*H4414</f>
        <v>52500</v>
      </c>
    </row>
    <row r="4415" spans="2:10" ht="15.95" customHeight="1" x14ac:dyDescent="0.25">
      <c r="C4415" s="122"/>
      <c r="D4415" s="117" t="s">
        <v>429</v>
      </c>
      <c r="E4415" s="123" t="s">
        <v>372</v>
      </c>
      <c r="F4415" s="123" t="s">
        <v>368</v>
      </c>
      <c r="G4415" s="124">
        <v>3.5000000000000003E-2</v>
      </c>
      <c r="H4415" s="125">
        <f>VLOOKUP(D4415,Upah,8,FALSE)</f>
        <v>165000</v>
      </c>
      <c r="I4415" s="126">
        <f>G4415*H4415</f>
        <v>5775.0000000000009</v>
      </c>
    </row>
    <row r="4416" spans="2:10" ht="15.95" customHeight="1" thickBot="1" x14ac:dyDescent="0.3">
      <c r="C4416" s="122"/>
      <c r="D4416" s="117" t="s">
        <v>373</v>
      </c>
      <c r="E4416" s="123" t="s">
        <v>374</v>
      </c>
      <c r="F4416" s="123" t="s">
        <v>368</v>
      </c>
      <c r="G4416" s="124">
        <v>3.5000000000000003E-2</v>
      </c>
      <c r="H4416" s="125">
        <f>VLOOKUP(D4416,Upah,8,FALSE)</f>
        <v>170000</v>
      </c>
      <c r="I4416" s="126">
        <f>G4416*H4416</f>
        <v>5950.0000000000009</v>
      </c>
    </row>
    <row r="4417" spans="2:10" ht="15.95" customHeight="1" thickBot="1" x14ac:dyDescent="0.3">
      <c r="C4417" s="132"/>
      <c r="D4417" s="133"/>
      <c r="E4417" s="134"/>
      <c r="F4417" s="134"/>
      <c r="G4417" s="135" t="s">
        <v>375</v>
      </c>
      <c r="H4417" s="136"/>
      <c r="I4417" s="137">
        <f>SUM(I4413:I4416)</f>
        <v>151725</v>
      </c>
    </row>
    <row r="4418" spans="2:10" ht="15.95" customHeight="1" x14ac:dyDescent="0.25">
      <c r="C4418" s="116" t="s">
        <v>376</v>
      </c>
      <c r="D4418" s="117" t="s">
        <v>377</v>
      </c>
      <c r="E4418" s="118"/>
      <c r="F4418" s="118"/>
      <c r="G4418" s="165"/>
      <c r="H4418" s="144"/>
      <c r="I4418" s="126"/>
    </row>
    <row r="4419" spans="2:10" ht="15.95" customHeight="1" x14ac:dyDescent="0.25">
      <c r="C4419" s="122"/>
      <c r="D4419" s="117" t="s">
        <v>1078</v>
      </c>
      <c r="E4419" s="118"/>
      <c r="F4419" s="123" t="s">
        <v>418</v>
      </c>
      <c r="G4419" s="124">
        <v>1.06</v>
      </c>
      <c r="H4419" s="144">
        <f>VLOOKUP(D4419,Bahan,6,FALSE)</f>
        <v>69020</v>
      </c>
      <c r="I4419" s="126">
        <f>G4419*H4419</f>
        <v>73161.2</v>
      </c>
    </row>
    <row r="4420" spans="2:10" ht="15.95" customHeight="1" x14ac:dyDescent="0.25">
      <c r="C4420" s="122"/>
      <c r="D4420" s="117" t="s">
        <v>380</v>
      </c>
      <c r="E4420" s="118"/>
      <c r="F4420" s="123" t="s">
        <v>159</v>
      </c>
      <c r="G4420" s="124">
        <v>8.19</v>
      </c>
      <c r="H4420" s="144">
        <f>VLOOKUP(D4420,Bahan,6,FALSE)</f>
        <v>1880</v>
      </c>
      <c r="I4420" s="126">
        <f>G4420*H4420</f>
        <v>15397.199999999999</v>
      </c>
    </row>
    <row r="4421" spans="2:10" ht="15.95" customHeight="1" x14ac:dyDescent="0.25">
      <c r="C4421" s="122"/>
      <c r="D4421" s="117" t="s">
        <v>493</v>
      </c>
      <c r="E4421" s="118"/>
      <c r="F4421" s="123" t="s">
        <v>489</v>
      </c>
      <c r="G4421" s="124">
        <v>4.4999999999999998E-2</v>
      </c>
      <c r="H4421" s="144">
        <f>VLOOKUP(D4421,Bahan,6,FALSE)</f>
        <v>253510</v>
      </c>
      <c r="I4421" s="126">
        <f>G4421*H4421</f>
        <v>11407.949999999999</v>
      </c>
    </row>
    <row r="4422" spans="2:10" ht="15.95" customHeight="1" thickBot="1" x14ac:dyDescent="0.3">
      <c r="C4422" s="122"/>
      <c r="D4422" s="117" t="s">
        <v>960</v>
      </c>
      <c r="E4422" s="118"/>
      <c r="F4422" s="123" t="s">
        <v>159</v>
      </c>
      <c r="G4422" s="124">
        <v>0.65</v>
      </c>
      <c r="H4422" s="144">
        <f>VLOOKUP(D4422,Bahan,6,FALSE)</f>
        <v>2460</v>
      </c>
      <c r="I4422" s="126">
        <f>G4422*H4422</f>
        <v>1599</v>
      </c>
    </row>
    <row r="4423" spans="2:10" ht="15.95" customHeight="1" thickBot="1" x14ac:dyDescent="0.3">
      <c r="C4423" s="132"/>
      <c r="D4423" s="133"/>
      <c r="E4423" s="134"/>
      <c r="F4423" s="134"/>
      <c r="G4423" s="135" t="s">
        <v>386</v>
      </c>
      <c r="H4423" s="136"/>
      <c r="I4423" s="137">
        <f>SUM(I4419:I4422)</f>
        <v>101565.34999999999</v>
      </c>
    </row>
    <row r="4424" spans="2:10" ht="15.95" customHeight="1" thickBot="1" x14ac:dyDescent="0.3">
      <c r="C4424" s="116" t="s">
        <v>387</v>
      </c>
      <c r="D4424" s="117" t="s">
        <v>388</v>
      </c>
      <c r="E4424" s="118"/>
      <c r="F4424" s="118"/>
      <c r="G4424" s="165"/>
      <c r="H4424" s="144">
        <f>IF(AND(D4424&lt;&gt;"",F4424&lt;&gt;""),IF(C4424="",IF(F4424="OH",VLOOKUP(D4424,[1]UPAH!$B$3:$G$32,7,0),VLOOKUP(D4424,[1]BAHAN!$A$2:$D$3,4,0)),0),0)</f>
        <v>0</v>
      </c>
      <c r="I4424" s="126">
        <f>G4424*H4424</f>
        <v>0</v>
      </c>
    </row>
    <row r="4425" spans="2:10" ht="15.95" customHeight="1" thickBot="1" x14ac:dyDescent="0.3">
      <c r="C4425" s="132"/>
      <c r="D4425" s="133"/>
      <c r="E4425" s="134"/>
      <c r="F4425" s="134"/>
      <c r="G4425" s="135" t="s">
        <v>389</v>
      </c>
      <c r="H4425" s="136"/>
      <c r="I4425" s="137">
        <f>I4424</f>
        <v>0</v>
      </c>
    </row>
    <row r="4426" spans="2:10" ht="15.95" customHeight="1" x14ac:dyDescent="0.25">
      <c r="C4426" s="158" t="s">
        <v>390</v>
      </c>
      <c r="D4426" s="159" t="s">
        <v>391</v>
      </c>
      <c r="E4426" s="160"/>
      <c r="F4426" s="160"/>
      <c r="G4426" s="161"/>
      <c r="H4426" s="162">
        <f>IF(AND(D4426&lt;&gt;"",F4426&lt;&gt;""),IF(C4426="",IF(F4426="OH",VLOOKUP(D4426,[1]UPAH!$B$3:$G$32,7,0),VLOOKUP(D4426,[1]BAHAN!$A$2:$D$3,4,0)),0),0)</f>
        <v>0</v>
      </c>
      <c r="I4426" s="126">
        <f>SUM(I4413:I4425)/2</f>
        <v>253290.35</v>
      </c>
    </row>
    <row r="4427" spans="2:10" ht="15.95" customHeight="1" thickBot="1" x14ac:dyDescent="0.3">
      <c r="C4427" s="147" t="s">
        <v>392</v>
      </c>
      <c r="D4427" s="148" t="s">
        <v>393</v>
      </c>
      <c r="E4427" s="149"/>
      <c r="F4427" s="149"/>
      <c r="G4427" s="164">
        <v>0.1</v>
      </c>
      <c r="H4427" s="151"/>
      <c r="I4427" s="146">
        <f>G4427*I4426</f>
        <v>25329.035000000003</v>
      </c>
    </row>
    <row r="4428" spans="2:10" ht="15.95" customHeight="1" thickBot="1" x14ac:dyDescent="0.3">
      <c r="C4428" s="111" t="s">
        <v>394</v>
      </c>
      <c r="D4428" s="112" t="s">
        <v>395</v>
      </c>
      <c r="E4428" s="134"/>
      <c r="F4428" s="134"/>
      <c r="G4428" s="156"/>
      <c r="H4428" s="136">
        <f>IF(AND(D4428&lt;&gt;"",F4428&lt;&gt;""),IF(C4428="",IF(F4428="OH",VLOOKUP(D4428,[1]UPAH!$B$3:$G$32,7,0),VLOOKUP(D4428,[1]BAHAN!$A$2:$D$3,4,0)),0),0)</f>
        <v>0</v>
      </c>
      <c r="I4428" s="137">
        <f>ROUNDDOWN(I4426+I4427,0)</f>
        <v>278619</v>
      </c>
    </row>
    <row r="4429" spans="2:10" ht="15.95" customHeight="1" x14ac:dyDescent="0.25">
      <c r="C4429" s="109"/>
      <c r="D4429" s="109"/>
      <c r="G4429" s="157"/>
    </row>
    <row r="4430" spans="2:10" ht="15.95" customHeight="1" thickBot="1" x14ac:dyDescent="0.3">
      <c r="B4430" s="109" t="s">
        <v>1079</v>
      </c>
      <c r="C4430" s="104" t="s">
        <v>1080</v>
      </c>
      <c r="G4430" s="157"/>
      <c r="J4430" s="110">
        <f>I4446</f>
        <v>639549</v>
      </c>
    </row>
    <row r="4431" spans="2:10" ht="15.95" customHeight="1" thickBot="1" x14ac:dyDescent="0.3">
      <c r="C4431" s="111" t="s">
        <v>328</v>
      </c>
      <c r="D4431" s="112" t="s">
        <v>359</v>
      </c>
      <c r="E4431" s="113" t="s">
        <v>360</v>
      </c>
      <c r="F4431" s="113" t="s">
        <v>330</v>
      </c>
      <c r="G4431" s="114" t="s">
        <v>361</v>
      </c>
      <c r="H4431" s="112" t="s">
        <v>362</v>
      </c>
      <c r="I4431" s="115" t="s">
        <v>363</v>
      </c>
    </row>
    <row r="4432" spans="2:10" ht="15.95" customHeight="1" x14ac:dyDescent="0.25">
      <c r="C4432" s="116" t="s">
        <v>364</v>
      </c>
      <c r="D4432" s="117" t="s">
        <v>365</v>
      </c>
      <c r="E4432" s="118"/>
      <c r="F4432" s="118"/>
      <c r="G4432" s="165"/>
      <c r="H4432" s="144"/>
      <c r="I4432" s="126"/>
    </row>
    <row r="4433" spans="2:10" ht="15.95" customHeight="1" x14ac:dyDescent="0.25">
      <c r="C4433" s="122"/>
      <c r="D4433" s="117" t="s">
        <v>366</v>
      </c>
      <c r="E4433" s="123" t="s">
        <v>367</v>
      </c>
      <c r="F4433" s="123" t="s">
        <v>368</v>
      </c>
      <c r="G4433" s="124">
        <v>0.17</v>
      </c>
      <c r="H4433" s="125">
        <f>VLOOKUP(D4433,Upah,8,FALSE)</f>
        <v>125000</v>
      </c>
      <c r="I4433" s="126">
        <f>G4433*H4433</f>
        <v>21250</v>
      </c>
    </row>
    <row r="4434" spans="2:10" ht="15.95" customHeight="1" x14ac:dyDescent="0.25">
      <c r="C4434" s="122"/>
      <c r="D4434" s="117" t="s">
        <v>369</v>
      </c>
      <c r="E4434" s="123" t="s">
        <v>370</v>
      </c>
      <c r="F4434" s="123" t="s">
        <v>368</v>
      </c>
      <c r="G4434" s="124">
        <v>0.17</v>
      </c>
      <c r="H4434" s="125">
        <f>VLOOKUP(D4434,Upah,8,FALSE)</f>
        <v>150000</v>
      </c>
      <c r="I4434" s="126">
        <f>G4434*H4434</f>
        <v>25500.000000000004</v>
      </c>
    </row>
    <row r="4435" spans="2:10" ht="15.95" customHeight="1" x14ac:dyDescent="0.25">
      <c r="C4435" s="122"/>
      <c r="D4435" s="117" t="s">
        <v>429</v>
      </c>
      <c r="E4435" s="123" t="s">
        <v>372</v>
      </c>
      <c r="F4435" s="123" t="s">
        <v>368</v>
      </c>
      <c r="G4435" s="124">
        <v>1.7000000000000001E-2</v>
      </c>
      <c r="H4435" s="125">
        <f>VLOOKUP(D4435,Upah,8,FALSE)</f>
        <v>165000</v>
      </c>
      <c r="I4435" s="126">
        <f>G4435*H4435</f>
        <v>2805</v>
      </c>
    </row>
    <row r="4436" spans="2:10" ht="15.95" customHeight="1" thickBot="1" x14ac:dyDescent="0.3">
      <c r="C4436" s="122"/>
      <c r="D4436" s="117" t="s">
        <v>373</v>
      </c>
      <c r="E4436" s="123" t="s">
        <v>374</v>
      </c>
      <c r="F4436" s="123" t="s">
        <v>368</v>
      </c>
      <c r="G4436" s="124">
        <v>8.9999999999999993E-3</v>
      </c>
      <c r="H4436" s="125">
        <f>VLOOKUP(D4436,Upah,8,FALSE)</f>
        <v>170000</v>
      </c>
      <c r="I4436" s="126">
        <f>G4436*H4436</f>
        <v>1529.9999999999998</v>
      </c>
    </row>
    <row r="4437" spans="2:10" ht="15.95" customHeight="1" thickBot="1" x14ac:dyDescent="0.3">
      <c r="C4437" s="132"/>
      <c r="D4437" s="133"/>
      <c r="E4437" s="134"/>
      <c r="F4437" s="134"/>
      <c r="G4437" s="135" t="s">
        <v>375</v>
      </c>
      <c r="H4437" s="136"/>
      <c r="I4437" s="137">
        <f>SUM(I4433:I4436)</f>
        <v>51085</v>
      </c>
    </row>
    <row r="4438" spans="2:10" ht="15.95" customHeight="1" x14ac:dyDescent="0.25">
      <c r="C4438" s="116" t="s">
        <v>376</v>
      </c>
      <c r="D4438" s="117" t="s">
        <v>377</v>
      </c>
      <c r="E4438" s="118"/>
      <c r="F4438" s="118"/>
      <c r="G4438" s="165"/>
      <c r="H4438" s="144"/>
      <c r="I4438" s="126"/>
    </row>
    <row r="4439" spans="2:10" ht="15.95" customHeight="1" x14ac:dyDescent="0.25">
      <c r="C4439" s="122"/>
      <c r="D4439" s="117" t="s">
        <v>1081</v>
      </c>
      <c r="E4439" s="118"/>
      <c r="F4439" s="123" t="s">
        <v>82</v>
      </c>
      <c r="G4439" s="124">
        <v>1.05</v>
      </c>
      <c r="H4439" s="144">
        <f>VLOOKUP(D4439,Bahan,6,FALSE)</f>
        <v>500000</v>
      </c>
      <c r="I4439" s="126">
        <f>G4439*H4439</f>
        <v>525000</v>
      </c>
    </row>
    <row r="4440" spans="2:10" ht="15.95" customHeight="1" thickBot="1" x14ac:dyDescent="0.3">
      <c r="C4440" s="122"/>
      <c r="D4440" s="117" t="s">
        <v>1082</v>
      </c>
      <c r="E4440" s="118"/>
      <c r="F4440" s="123" t="s">
        <v>159</v>
      </c>
      <c r="G4440" s="124">
        <v>0.35</v>
      </c>
      <c r="H4440" s="144">
        <f>VLOOKUP(D4440,Bahan,6,FALSE)</f>
        <v>15210</v>
      </c>
      <c r="I4440" s="126">
        <f>G4440*H4440</f>
        <v>5323.5</v>
      </c>
    </row>
    <row r="4441" spans="2:10" ht="15.95" customHeight="1" thickBot="1" x14ac:dyDescent="0.3">
      <c r="C4441" s="132"/>
      <c r="D4441" s="133"/>
      <c r="E4441" s="134"/>
      <c r="F4441" s="134"/>
      <c r="G4441" s="135" t="s">
        <v>386</v>
      </c>
      <c r="H4441" s="136"/>
      <c r="I4441" s="137">
        <f>SUM(I4439:I4440)</f>
        <v>530323.5</v>
      </c>
    </row>
    <row r="4442" spans="2:10" ht="15.95" customHeight="1" thickBot="1" x14ac:dyDescent="0.3">
      <c r="C4442" s="116" t="s">
        <v>387</v>
      </c>
      <c r="D4442" s="117" t="s">
        <v>388</v>
      </c>
      <c r="E4442" s="118"/>
      <c r="F4442" s="118"/>
      <c r="G4442" s="165"/>
      <c r="H4442" s="144">
        <f>IF(AND(D4442&lt;&gt;"",F4442&lt;&gt;""),IF(C4442="",IF(F4442="OH",VLOOKUP(D4442,[1]UPAH!$B$3:$G$32,7,0),VLOOKUP(D4442,[1]BAHAN!$A$2:$D$3,4,0)),0),0)</f>
        <v>0</v>
      </c>
      <c r="I4442" s="126">
        <f>G4442*H4442</f>
        <v>0</v>
      </c>
    </row>
    <row r="4443" spans="2:10" ht="15.95" customHeight="1" thickBot="1" x14ac:dyDescent="0.3">
      <c r="C4443" s="132"/>
      <c r="D4443" s="133"/>
      <c r="E4443" s="134"/>
      <c r="F4443" s="134"/>
      <c r="G4443" s="135" t="s">
        <v>389</v>
      </c>
      <c r="H4443" s="136"/>
      <c r="I4443" s="137">
        <f>I4442</f>
        <v>0</v>
      </c>
    </row>
    <row r="4444" spans="2:10" ht="15.95" customHeight="1" x14ac:dyDescent="0.25">
      <c r="C4444" s="158" t="s">
        <v>390</v>
      </c>
      <c r="D4444" s="159" t="s">
        <v>391</v>
      </c>
      <c r="E4444" s="160"/>
      <c r="F4444" s="160"/>
      <c r="G4444" s="161"/>
      <c r="H4444" s="162">
        <f>IF(AND(D4444&lt;&gt;"",F4444&lt;&gt;""),IF(C4444="",IF(F4444="OH",VLOOKUP(D4444,[1]UPAH!$B$3:$G$32,7,0),VLOOKUP(D4444,[1]BAHAN!$A$2:$D$3,4,0)),0),0)</f>
        <v>0</v>
      </c>
      <c r="I4444" s="126">
        <f>SUM(I4433:I4443)/2</f>
        <v>581408.5</v>
      </c>
    </row>
    <row r="4445" spans="2:10" ht="15.95" customHeight="1" thickBot="1" x14ac:dyDescent="0.3">
      <c r="C4445" s="147" t="s">
        <v>392</v>
      </c>
      <c r="D4445" s="148" t="s">
        <v>393</v>
      </c>
      <c r="E4445" s="149"/>
      <c r="F4445" s="149"/>
      <c r="G4445" s="164">
        <v>0.1</v>
      </c>
      <c r="H4445" s="151"/>
      <c r="I4445" s="146">
        <f>G4445*I4444</f>
        <v>58140.850000000006</v>
      </c>
    </row>
    <row r="4446" spans="2:10" ht="15.95" customHeight="1" thickBot="1" x14ac:dyDescent="0.3">
      <c r="C4446" s="111" t="s">
        <v>394</v>
      </c>
      <c r="D4446" s="112" t="s">
        <v>395</v>
      </c>
      <c r="E4446" s="134"/>
      <c r="F4446" s="134"/>
      <c r="G4446" s="156"/>
      <c r="H4446" s="136">
        <f>IF(AND(D4446&lt;&gt;"",F4446&lt;&gt;""),IF(C4446="",IF(F4446="OH",VLOOKUP(D4446,[1]UPAH!$B$3:$G$32,7,0),VLOOKUP(D4446,[1]BAHAN!$A$2:$D$3,4,0)),0),0)</f>
        <v>0</v>
      </c>
      <c r="I4446" s="137">
        <f>ROUNDDOWN(I4444+I4445,0)</f>
        <v>639549</v>
      </c>
    </row>
    <row r="4447" spans="2:10" ht="15.95" customHeight="1" x14ac:dyDescent="0.25">
      <c r="C4447" s="109"/>
      <c r="D4447" s="109"/>
      <c r="G4447" s="157"/>
    </row>
    <row r="4448" spans="2:10" ht="15.95" customHeight="1" thickBot="1" x14ac:dyDescent="0.3">
      <c r="B4448" s="109" t="s">
        <v>1083</v>
      </c>
      <c r="C4448" s="104" t="s">
        <v>1084</v>
      </c>
      <c r="G4448" s="157"/>
      <c r="J4448" s="110">
        <f>I4464</f>
        <v>85950</v>
      </c>
    </row>
    <row r="4449" spans="3:9" ht="15.95" customHeight="1" thickBot="1" x14ac:dyDescent="0.3">
      <c r="C4449" s="111" t="s">
        <v>328</v>
      </c>
      <c r="D4449" s="112" t="s">
        <v>359</v>
      </c>
      <c r="E4449" s="113" t="s">
        <v>360</v>
      </c>
      <c r="F4449" s="113" t="s">
        <v>330</v>
      </c>
      <c r="G4449" s="114" t="s">
        <v>361</v>
      </c>
      <c r="H4449" s="112" t="s">
        <v>362</v>
      </c>
      <c r="I4449" s="115" t="s">
        <v>363</v>
      </c>
    </row>
    <row r="4450" spans="3:9" ht="15.95" customHeight="1" x14ac:dyDescent="0.25">
      <c r="C4450" s="116" t="s">
        <v>364</v>
      </c>
      <c r="D4450" s="117" t="s">
        <v>365</v>
      </c>
      <c r="E4450" s="118"/>
      <c r="F4450" s="118"/>
      <c r="G4450" s="165"/>
      <c r="H4450" s="144"/>
      <c r="I4450" s="126"/>
    </row>
    <row r="4451" spans="3:9" ht="15.95" customHeight="1" x14ac:dyDescent="0.25">
      <c r="C4451" s="122"/>
      <c r="D4451" s="117" t="s">
        <v>366</v>
      </c>
      <c r="E4451" s="123" t="s">
        <v>367</v>
      </c>
      <c r="F4451" s="123" t="s">
        <v>368</v>
      </c>
      <c r="G4451" s="124">
        <v>0.12</v>
      </c>
      <c r="H4451" s="125">
        <f>VLOOKUP(D4451,Upah,8,FALSE)</f>
        <v>125000</v>
      </c>
      <c r="I4451" s="126">
        <f>G4451*H4451</f>
        <v>15000</v>
      </c>
    </row>
    <row r="4452" spans="3:9" ht="15.95" customHeight="1" x14ac:dyDescent="0.25">
      <c r="C4452" s="122"/>
      <c r="D4452" s="117" t="s">
        <v>369</v>
      </c>
      <c r="E4452" s="123" t="s">
        <v>370</v>
      </c>
      <c r="F4452" s="123" t="s">
        <v>368</v>
      </c>
      <c r="G4452" s="124">
        <v>0.12</v>
      </c>
      <c r="H4452" s="125">
        <f>VLOOKUP(D4452,Upah,8,FALSE)</f>
        <v>150000</v>
      </c>
      <c r="I4452" s="126">
        <f>G4452*H4452</f>
        <v>18000</v>
      </c>
    </row>
    <row r="4453" spans="3:9" ht="15.95" customHeight="1" x14ac:dyDescent="0.25">
      <c r="C4453" s="122"/>
      <c r="D4453" s="117" t="s">
        <v>429</v>
      </c>
      <c r="E4453" s="123" t="s">
        <v>372</v>
      </c>
      <c r="F4453" s="123" t="s">
        <v>368</v>
      </c>
      <c r="G4453" s="124">
        <v>1.2E-2</v>
      </c>
      <c r="H4453" s="125">
        <f>VLOOKUP(D4453,Upah,8,FALSE)</f>
        <v>165000</v>
      </c>
      <c r="I4453" s="126">
        <f>G4453*H4453</f>
        <v>1980</v>
      </c>
    </row>
    <row r="4454" spans="3:9" ht="15.95" customHeight="1" thickBot="1" x14ac:dyDescent="0.3">
      <c r="C4454" s="122"/>
      <c r="D4454" s="117" t="s">
        <v>373</v>
      </c>
      <c r="E4454" s="123" t="s">
        <v>374</v>
      </c>
      <c r="F4454" s="123" t="s">
        <v>368</v>
      </c>
      <c r="G4454" s="124">
        <v>6.0000000000000001E-3</v>
      </c>
      <c r="H4454" s="125">
        <f>VLOOKUP(D4454,Upah,8,FALSE)</f>
        <v>170000</v>
      </c>
      <c r="I4454" s="126">
        <f>G4454*H4454</f>
        <v>1020</v>
      </c>
    </row>
    <row r="4455" spans="3:9" ht="15.95" customHeight="1" thickBot="1" x14ac:dyDescent="0.3">
      <c r="C4455" s="132"/>
      <c r="D4455" s="133"/>
      <c r="E4455" s="134"/>
      <c r="F4455" s="134"/>
      <c r="G4455" s="135" t="s">
        <v>375</v>
      </c>
      <c r="H4455" s="136"/>
      <c r="I4455" s="137">
        <f>SUM(I4451:I4454)</f>
        <v>36000</v>
      </c>
    </row>
    <row r="4456" spans="3:9" ht="15.95" customHeight="1" x14ac:dyDescent="0.25">
      <c r="C4456" s="116" t="s">
        <v>376</v>
      </c>
      <c r="D4456" s="117" t="s">
        <v>377</v>
      </c>
      <c r="E4456" s="118"/>
      <c r="F4456" s="118"/>
      <c r="G4456" s="165"/>
      <c r="H4456" s="144"/>
      <c r="I4456" s="126"/>
    </row>
    <row r="4457" spans="3:9" ht="15.95" customHeight="1" x14ac:dyDescent="0.25">
      <c r="C4457" s="122"/>
      <c r="D4457" s="117" t="s">
        <v>1085</v>
      </c>
      <c r="E4457" s="118"/>
      <c r="F4457" s="123" t="s">
        <v>82</v>
      </c>
      <c r="G4457" s="124">
        <v>1.05</v>
      </c>
      <c r="H4457" s="144">
        <f>VLOOKUP(D4457,Bahan,6,FALSE)</f>
        <v>35060</v>
      </c>
      <c r="I4457" s="126">
        <f>G4457*H4457</f>
        <v>36813</v>
      </c>
    </row>
    <row r="4458" spans="3:9" ht="15.95" customHeight="1" thickBot="1" x14ac:dyDescent="0.3">
      <c r="C4458" s="122"/>
      <c r="D4458" s="117" t="s">
        <v>1082</v>
      </c>
      <c r="E4458" s="118"/>
      <c r="F4458" s="123" t="s">
        <v>159</v>
      </c>
      <c r="G4458" s="124">
        <v>0.35</v>
      </c>
      <c r="H4458" s="144">
        <f>VLOOKUP(D4458,Bahan,6,FALSE)</f>
        <v>15210</v>
      </c>
      <c r="I4458" s="126">
        <f>G4458*H4458</f>
        <v>5323.5</v>
      </c>
    </row>
    <row r="4459" spans="3:9" ht="15.95" customHeight="1" thickBot="1" x14ac:dyDescent="0.3">
      <c r="C4459" s="132"/>
      <c r="D4459" s="133"/>
      <c r="E4459" s="134"/>
      <c r="F4459" s="134"/>
      <c r="G4459" s="135" t="s">
        <v>386</v>
      </c>
      <c r="H4459" s="136"/>
      <c r="I4459" s="137">
        <f>SUM(I4457:I4458)</f>
        <v>42136.5</v>
      </c>
    </row>
    <row r="4460" spans="3:9" ht="15.95" customHeight="1" thickBot="1" x14ac:dyDescent="0.3">
      <c r="C4460" s="116" t="s">
        <v>387</v>
      </c>
      <c r="D4460" s="117" t="s">
        <v>388</v>
      </c>
      <c r="E4460" s="118"/>
      <c r="F4460" s="118"/>
      <c r="G4460" s="165"/>
      <c r="H4460" s="144">
        <f>IF(AND(D4460&lt;&gt;"",F4460&lt;&gt;""),IF(C4460="",IF(F4460="OH",VLOOKUP(D4460,[1]UPAH!$B$3:$G$32,7,0),VLOOKUP(D4460,[1]BAHAN!$A$2:$D$3,4,0)),0),0)</f>
        <v>0</v>
      </c>
      <c r="I4460" s="126">
        <f>G4460*H4460</f>
        <v>0</v>
      </c>
    </row>
    <row r="4461" spans="3:9" ht="15.95" customHeight="1" thickBot="1" x14ac:dyDescent="0.3">
      <c r="C4461" s="132"/>
      <c r="D4461" s="133"/>
      <c r="E4461" s="134"/>
      <c r="F4461" s="134"/>
      <c r="G4461" s="135" t="s">
        <v>389</v>
      </c>
      <c r="H4461" s="136"/>
      <c r="I4461" s="137">
        <f>I4460</f>
        <v>0</v>
      </c>
    </row>
    <row r="4462" spans="3:9" ht="15.95" customHeight="1" x14ac:dyDescent="0.25">
      <c r="C4462" s="158" t="s">
        <v>390</v>
      </c>
      <c r="D4462" s="159" t="s">
        <v>391</v>
      </c>
      <c r="E4462" s="160"/>
      <c r="F4462" s="160"/>
      <c r="G4462" s="161"/>
      <c r="H4462" s="162">
        <f>IF(AND(D4462&lt;&gt;"",F4462&lt;&gt;""),IF(C4462="",IF(F4462="OH",VLOOKUP(D4462,[1]UPAH!$B$3:$G$32,7,0),VLOOKUP(D4462,[1]BAHAN!$A$2:$D$3,4,0)),0),0)</f>
        <v>0</v>
      </c>
      <c r="I4462" s="126">
        <f>SUM(I4451:I4461)/2</f>
        <v>78136.5</v>
      </c>
    </row>
    <row r="4463" spans="3:9" ht="15.95" customHeight="1" thickBot="1" x14ac:dyDescent="0.3">
      <c r="C4463" s="147" t="s">
        <v>392</v>
      </c>
      <c r="D4463" s="148" t="s">
        <v>393</v>
      </c>
      <c r="E4463" s="149"/>
      <c r="F4463" s="149"/>
      <c r="G4463" s="164">
        <v>0.1</v>
      </c>
      <c r="H4463" s="151"/>
      <c r="I4463" s="146">
        <f>G4463*I4462</f>
        <v>7813.6500000000005</v>
      </c>
    </row>
    <row r="4464" spans="3:9" ht="15.95" customHeight="1" thickBot="1" x14ac:dyDescent="0.3">
      <c r="C4464" s="111" t="s">
        <v>394</v>
      </c>
      <c r="D4464" s="112" t="s">
        <v>395</v>
      </c>
      <c r="E4464" s="134"/>
      <c r="F4464" s="134"/>
      <c r="G4464" s="156"/>
      <c r="H4464" s="136">
        <f>IF(AND(D4464&lt;&gt;"",F4464&lt;&gt;""),IF(C4464="",IF(F4464="OH",VLOOKUP(D4464,[1]UPAH!$B$3:$G$32,7,0),VLOOKUP(D4464,[1]BAHAN!$A$2:$D$3,4,0)),0),0)</f>
        <v>0</v>
      </c>
      <c r="I4464" s="137">
        <f>ROUNDDOWN(I4462+I4463,0)</f>
        <v>85950</v>
      </c>
    </row>
    <row r="4465" spans="2:10" ht="15.95" customHeight="1" x14ac:dyDescent="0.25">
      <c r="C4465" s="109"/>
      <c r="D4465" s="109"/>
      <c r="G4465" s="157"/>
    </row>
    <row r="4466" spans="2:10" ht="15.95" customHeight="1" thickBot="1" x14ac:dyDescent="0.3">
      <c r="B4466" s="109" t="s">
        <v>1086</v>
      </c>
      <c r="C4466" s="104" t="s">
        <v>1087</v>
      </c>
      <c r="G4466" s="157"/>
      <c r="J4466" s="110">
        <f>I4482</f>
        <v>196178</v>
      </c>
    </row>
    <row r="4467" spans="2:10" ht="15.95" customHeight="1" thickBot="1" x14ac:dyDescent="0.3">
      <c r="C4467" s="111" t="s">
        <v>328</v>
      </c>
      <c r="D4467" s="112" t="s">
        <v>359</v>
      </c>
      <c r="E4467" s="113" t="s">
        <v>360</v>
      </c>
      <c r="F4467" s="113" t="s">
        <v>330</v>
      </c>
      <c r="G4467" s="114" t="s">
        <v>361</v>
      </c>
      <c r="H4467" s="112" t="s">
        <v>362</v>
      </c>
      <c r="I4467" s="115" t="s">
        <v>363</v>
      </c>
    </row>
    <row r="4468" spans="2:10" ht="15.95" customHeight="1" x14ac:dyDescent="0.25">
      <c r="C4468" s="116" t="s">
        <v>364</v>
      </c>
      <c r="D4468" s="117" t="s">
        <v>365</v>
      </c>
      <c r="E4468" s="118"/>
      <c r="F4468" s="118"/>
      <c r="G4468" s="165"/>
      <c r="H4468" s="144"/>
      <c r="I4468" s="126"/>
    </row>
    <row r="4469" spans="2:10" ht="15.95" customHeight="1" x14ac:dyDescent="0.25">
      <c r="C4469" s="122"/>
      <c r="D4469" s="117" t="s">
        <v>366</v>
      </c>
      <c r="E4469" s="123" t="s">
        <v>367</v>
      </c>
      <c r="F4469" s="123" t="s">
        <v>368</v>
      </c>
      <c r="G4469" s="124">
        <v>0.7</v>
      </c>
      <c r="H4469" s="125">
        <f>VLOOKUP(D4469,Upah,8,FALSE)</f>
        <v>125000</v>
      </c>
      <c r="I4469" s="126">
        <f>G4469*H4469</f>
        <v>87500</v>
      </c>
    </row>
    <row r="4470" spans="2:10" ht="15.95" customHeight="1" x14ac:dyDescent="0.25">
      <c r="C4470" s="122"/>
      <c r="D4470" s="117" t="s">
        <v>369</v>
      </c>
      <c r="E4470" s="123" t="s">
        <v>370</v>
      </c>
      <c r="F4470" s="123" t="s">
        <v>368</v>
      </c>
      <c r="G4470" s="124">
        <v>0.35</v>
      </c>
      <c r="H4470" s="125">
        <f>VLOOKUP(D4470,Upah,8,FALSE)</f>
        <v>150000</v>
      </c>
      <c r="I4470" s="126">
        <f>G4470*H4470</f>
        <v>52500</v>
      </c>
    </row>
    <row r="4471" spans="2:10" ht="15.95" customHeight="1" x14ac:dyDescent="0.25">
      <c r="C4471" s="122"/>
      <c r="D4471" s="117" t="s">
        <v>429</v>
      </c>
      <c r="E4471" s="123" t="s">
        <v>372</v>
      </c>
      <c r="F4471" s="123" t="s">
        <v>368</v>
      </c>
      <c r="G4471" s="124">
        <v>3.5000000000000003E-2</v>
      </c>
      <c r="H4471" s="125">
        <f>VLOOKUP(D4471,Upah,8,FALSE)</f>
        <v>165000</v>
      </c>
      <c r="I4471" s="126">
        <f>G4471*H4471</f>
        <v>5775.0000000000009</v>
      </c>
    </row>
    <row r="4472" spans="2:10" ht="15.95" customHeight="1" thickBot="1" x14ac:dyDescent="0.3">
      <c r="C4472" s="122"/>
      <c r="D4472" s="117" t="s">
        <v>373</v>
      </c>
      <c r="E4472" s="123" t="s">
        <v>374</v>
      </c>
      <c r="F4472" s="123" t="s">
        <v>368</v>
      </c>
      <c r="G4472" s="124">
        <v>3.5000000000000003E-2</v>
      </c>
      <c r="H4472" s="125">
        <f>VLOOKUP(D4472,Upah,8,FALSE)</f>
        <v>170000</v>
      </c>
      <c r="I4472" s="126">
        <f>G4472*H4472</f>
        <v>5950.0000000000009</v>
      </c>
    </row>
    <row r="4473" spans="2:10" ht="15.95" customHeight="1" thickBot="1" x14ac:dyDescent="0.3">
      <c r="C4473" s="132"/>
      <c r="D4473" s="133"/>
      <c r="E4473" s="134"/>
      <c r="F4473" s="134"/>
      <c r="G4473" s="135" t="s">
        <v>375</v>
      </c>
      <c r="H4473" s="136"/>
      <c r="I4473" s="137">
        <f>SUM(I4469:I4472)</f>
        <v>151725</v>
      </c>
    </row>
    <row r="4474" spans="2:10" ht="15.95" customHeight="1" x14ac:dyDescent="0.25">
      <c r="C4474" s="116" t="s">
        <v>376</v>
      </c>
      <c r="D4474" s="117" t="s">
        <v>377</v>
      </c>
      <c r="E4474" s="118"/>
      <c r="F4474" s="118"/>
      <c r="G4474" s="165"/>
      <c r="H4474" s="144"/>
      <c r="I4474" s="126"/>
    </row>
    <row r="4475" spans="2:10" ht="15.95" customHeight="1" x14ac:dyDescent="0.25">
      <c r="C4475" s="122"/>
      <c r="D4475" s="117" t="s">
        <v>1088</v>
      </c>
      <c r="E4475" s="118"/>
      <c r="F4475" s="123" t="s">
        <v>82</v>
      </c>
      <c r="G4475" s="124">
        <v>1.05</v>
      </c>
      <c r="H4475" s="144">
        <f>VLOOKUP(D4475,Bahan,6,FALSE)</f>
        <v>16660</v>
      </c>
      <c r="I4475" s="126">
        <f>G4475*H4475</f>
        <v>17493</v>
      </c>
    </row>
    <row r="4476" spans="2:10" ht="15.95" customHeight="1" thickBot="1" x14ac:dyDescent="0.3">
      <c r="C4476" s="122"/>
      <c r="D4476" s="117" t="s">
        <v>1082</v>
      </c>
      <c r="E4476" s="118"/>
      <c r="F4476" s="123" t="s">
        <v>159</v>
      </c>
      <c r="G4476" s="124">
        <v>0.6</v>
      </c>
      <c r="H4476" s="144">
        <f>VLOOKUP(D4476,Bahan,6,FALSE)</f>
        <v>15210</v>
      </c>
      <c r="I4476" s="126">
        <f>G4476*H4476</f>
        <v>9126</v>
      </c>
    </row>
    <row r="4477" spans="2:10" ht="15.95" customHeight="1" thickBot="1" x14ac:dyDescent="0.3">
      <c r="C4477" s="132"/>
      <c r="D4477" s="133"/>
      <c r="E4477" s="134"/>
      <c r="F4477" s="134"/>
      <c r="G4477" s="135" t="s">
        <v>386</v>
      </c>
      <c r="H4477" s="136"/>
      <c r="I4477" s="137">
        <f>SUM(I4475:I4476)</f>
        <v>26619</v>
      </c>
    </row>
    <row r="4478" spans="2:10" ht="15.95" customHeight="1" thickBot="1" x14ac:dyDescent="0.3">
      <c r="C4478" s="116" t="s">
        <v>387</v>
      </c>
      <c r="D4478" s="117" t="s">
        <v>388</v>
      </c>
      <c r="E4478" s="118"/>
      <c r="F4478" s="118"/>
      <c r="G4478" s="165"/>
      <c r="H4478" s="144">
        <f>IF(AND(D4478&lt;&gt;"",F4478&lt;&gt;""),IF(C4478="",IF(F4478="OH",VLOOKUP(D4478,[1]UPAH!$B$3:$G$32,7,0),VLOOKUP(D4478,[1]BAHAN!$A$2:$D$3,4,0)),0),0)</f>
        <v>0</v>
      </c>
      <c r="I4478" s="126">
        <f>G4478*H4478</f>
        <v>0</v>
      </c>
    </row>
    <row r="4479" spans="2:10" ht="15.95" customHeight="1" thickBot="1" x14ac:dyDescent="0.3">
      <c r="C4479" s="132"/>
      <c r="D4479" s="133"/>
      <c r="E4479" s="134"/>
      <c r="F4479" s="134"/>
      <c r="G4479" s="135" t="s">
        <v>389</v>
      </c>
      <c r="H4479" s="136"/>
      <c r="I4479" s="137">
        <f>I4478</f>
        <v>0</v>
      </c>
    </row>
    <row r="4480" spans="2:10" ht="15.95" customHeight="1" x14ac:dyDescent="0.25">
      <c r="C4480" s="158" t="s">
        <v>390</v>
      </c>
      <c r="D4480" s="159" t="s">
        <v>391</v>
      </c>
      <c r="E4480" s="160"/>
      <c r="F4480" s="160"/>
      <c r="G4480" s="161"/>
      <c r="H4480" s="162">
        <f>IF(AND(D4480&lt;&gt;"",F4480&lt;&gt;""),IF(C4480="",IF(F4480="OH",VLOOKUP(D4480,[1]UPAH!$B$3:$G$32,7,0),VLOOKUP(D4480,[1]BAHAN!$A$2:$D$3,4,0)),0),0)</f>
        <v>0</v>
      </c>
      <c r="I4480" s="126">
        <f>SUM(I4469:I4479)/2</f>
        <v>178344</v>
      </c>
    </row>
    <row r="4481" spans="2:10" ht="15.95" customHeight="1" thickBot="1" x14ac:dyDescent="0.3">
      <c r="C4481" s="147" t="s">
        <v>392</v>
      </c>
      <c r="D4481" s="148" t="s">
        <v>393</v>
      </c>
      <c r="E4481" s="149"/>
      <c r="F4481" s="149"/>
      <c r="G4481" s="164">
        <v>0.1</v>
      </c>
      <c r="H4481" s="151"/>
      <c r="I4481" s="146">
        <f>G4481*I4480</f>
        <v>17834.400000000001</v>
      </c>
    </row>
    <row r="4482" spans="2:10" ht="15.95" customHeight="1" thickBot="1" x14ac:dyDescent="0.3">
      <c r="C4482" s="111" t="s">
        <v>394</v>
      </c>
      <c r="D4482" s="112" t="s">
        <v>395</v>
      </c>
      <c r="E4482" s="134"/>
      <c r="F4482" s="134"/>
      <c r="G4482" s="156"/>
      <c r="H4482" s="136">
        <f>IF(AND(D4482&lt;&gt;"",F4482&lt;&gt;""),IF(C4482="",IF(F4482="OH",VLOOKUP(D4482,[1]UPAH!$B$3:$G$32,7,0),VLOOKUP(D4482,[1]BAHAN!$A$2:$D$3,4,0)),0),0)</f>
        <v>0</v>
      </c>
      <c r="I4482" s="137">
        <f>ROUNDDOWN(I4480+I4481,0)</f>
        <v>196178</v>
      </c>
    </row>
    <row r="4483" spans="2:10" ht="15.95" customHeight="1" x14ac:dyDescent="0.25">
      <c r="C4483" s="109"/>
      <c r="D4483" s="109"/>
      <c r="G4483" s="157"/>
    </row>
    <row r="4484" spans="2:10" ht="15.95" customHeight="1" thickBot="1" x14ac:dyDescent="0.3">
      <c r="B4484" s="109" t="s">
        <v>1089</v>
      </c>
      <c r="C4484" s="104" t="s">
        <v>1090</v>
      </c>
      <c r="G4484" s="157"/>
      <c r="J4484" s="110">
        <f>I4500</f>
        <v>598973</v>
      </c>
    </row>
    <row r="4485" spans="2:10" ht="15.95" customHeight="1" thickBot="1" x14ac:dyDescent="0.3">
      <c r="C4485" s="111" t="s">
        <v>328</v>
      </c>
      <c r="D4485" s="112" t="s">
        <v>359</v>
      </c>
      <c r="E4485" s="113" t="s">
        <v>360</v>
      </c>
      <c r="F4485" s="113" t="s">
        <v>330</v>
      </c>
      <c r="G4485" s="114" t="s">
        <v>361</v>
      </c>
      <c r="H4485" s="112" t="s">
        <v>362</v>
      </c>
      <c r="I4485" s="115" t="s">
        <v>363</v>
      </c>
    </row>
    <row r="4486" spans="2:10" ht="15.95" customHeight="1" x14ac:dyDescent="0.25">
      <c r="C4486" s="116" t="s">
        <v>364</v>
      </c>
      <c r="D4486" s="117" t="s">
        <v>365</v>
      </c>
      <c r="E4486" s="118"/>
      <c r="F4486" s="118"/>
      <c r="G4486" s="165"/>
      <c r="H4486" s="144"/>
      <c r="I4486" s="126"/>
    </row>
    <row r="4487" spans="2:10" ht="15.95" customHeight="1" x14ac:dyDescent="0.25">
      <c r="C4487" s="122"/>
      <c r="D4487" s="117" t="s">
        <v>366</v>
      </c>
      <c r="E4487" s="123" t="s">
        <v>367</v>
      </c>
      <c r="F4487" s="123" t="s">
        <v>368</v>
      </c>
      <c r="G4487" s="124">
        <v>0.7</v>
      </c>
      <c r="H4487" s="125">
        <f>VLOOKUP(D4487,Upah,8,FALSE)</f>
        <v>125000</v>
      </c>
      <c r="I4487" s="126">
        <f>G4487*H4487</f>
        <v>87500</v>
      </c>
    </row>
    <row r="4488" spans="2:10" ht="15.95" customHeight="1" x14ac:dyDescent="0.25">
      <c r="C4488" s="122"/>
      <c r="D4488" s="117" t="s">
        <v>369</v>
      </c>
      <c r="E4488" s="123" t="s">
        <v>370</v>
      </c>
      <c r="F4488" s="123" t="s">
        <v>368</v>
      </c>
      <c r="G4488" s="124">
        <v>0.35</v>
      </c>
      <c r="H4488" s="125">
        <f>VLOOKUP(D4488,Upah,8,FALSE)</f>
        <v>150000</v>
      </c>
      <c r="I4488" s="126">
        <f>G4488*H4488</f>
        <v>52500</v>
      </c>
    </row>
    <row r="4489" spans="2:10" ht="15.95" customHeight="1" x14ac:dyDescent="0.25">
      <c r="C4489" s="122"/>
      <c r="D4489" s="117" t="s">
        <v>429</v>
      </c>
      <c r="E4489" s="123" t="s">
        <v>372</v>
      </c>
      <c r="F4489" s="123" t="s">
        <v>368</v>
      </c>
      <c r="G4489" s="124">
        <v>3.5000000000000003E-2</v>
      </c>
      <c r="H4489" s="125">
        <f>VLOOKUP(D4489,Upah,8,FALSE)</f>
        <v>165000</v>
      </c>
      <c r="I4489" s="126">
        <f>G4489*H4489</f>
        <v>5775.0000000000009</v>
      </c>
    </row>
    <row r="4490" spans="2:10" ht="15.95" customHeight="1" thickBot="1" x14ac:dyDescent="0.3">
      <c r="C4490" s="122"/>
      <c r="D4490" s="117" t="s">
        <v>373</v>
      </c>
      <c r="E4490" s="123" t="s">
        <v>374</v>
      </c>
      <c r="F4490" s="123" t="s">
        <v>368</v>
      </c>
      <c r="G4490" s="124">
        <v>3.5000000000000003E-2</v>
      </c>
      <c r="H4490" s="125">
        <f>VLOOKUP(D4490,Upah,8,FALSE)</f>
        <v>170000</v>
      </c>
      <c r="I4490" s="126">
        <f>G4490*H4490</f>
        <v>5950.0000000000009</v>
      </c>
    </row>
    <row r="4491" spans="2:10" ht="15.95" customHeight="1" thickBot="1" x14ac:dyDescent="0.3">
      <c r="C4491" s="132"/>
      <c r="D4491" s="133"/>
      <c r="E4491" s="134"/>
      <c r="F4491" s="134"/>
      <c r="G4491" s="135" t="s">
        <v>375</v>
      </c>
      <c r="H4491" s="136"/>
      <c r="I4491" s="137">
        <f>SUM(I4487:I4490)</f>
        <v>151725</v>
      </c>
    </row>
    <row r="4492" spans="2:10" ht="15.95" customHeight="1" x14ac:dyDescent="0.25">
      <c r="C4492" s="116" t="s">
        <v>376</v>
      </c>
      <c r="D4492" s="117" t="s">
        <v>377</v>
      </c>
      <c r="E4492" s="118"/>
      <c r="F4492" s="118"/>
      <c r="G4492" s="165"/>
      <c r="H4492" s="144"/>
      <c r="I4492" s="126"/>
    </row>
    <row r="4493" spans="2:10" ht="15.95" customHeight="1" x14ac:dyDescent="0.25">
      <c r="C4493" s="122"/>
      <c r="D4493" s="117" t="s">
        <v>1091</v>
      </c>
      <c r="E4493" s="118"/>
      <c r="F4493" s="123" t="s">
        <v>82</v>
      </c>
      <c r="G4493" s="124">
        <v>1.05</v>
      </c>
      <c r="H4493" s="144">
        <f>VLOOKUP(D4493,Bahan,6,FALSE)</f>
        <v>365400</v>
      </c>
      <c r="I4493" s="126">
        <f>G4493*H4493</f>
        <v>383670</v>
      </c>
    </row>
    <row r="4494" spans="2:10" ht="15.95" customHeight="1" thickBot="1" x14ac:dyDescent="0.3">
      <c r="C4494" s="122"/>
      <c r="D4494" s="117" t="s">
        <v>1082</v>
      </c>
      <c r="E4494" s="118"/>
      <c r="F4494" s="123" t="s">
        <v>159</v>
      </c>
      <c r="G4494" s="124">
        <v>0.6</v>
      </c>
      <c r="H4494" s="144">
        <f>VLOOKUP(D4494,Bahan,6,FALSE)</f>
        <v>15210</v>
      </c>
      <c r="I4494" s="126">
        <f>G4494*H4494</f>
        <v>9126</v>
      </c>
    </row>
    <row r="4495" spans="2:10" ht="15.95" customHeight="1" thickBot="1" x14ac:dyDescent="0.3">
      <c r="C4495" s="132"/>
      <c r="D4495" s="133"/>
      <c r="E4495" s="134"/>
      <c r="F4495" s="134"/>
      <c r="G4495" s="135" t="s">
        <v>386</v>
      </c>
      <c r="H4495" s="136"/>
      <c r="I4495" s="137">
        <f>SUM(I4493:I4494)</f>
        <v>392796</v>
      </c>
    </row>
    <row r="4496" spans="2:10" ht="15.95" customHeight="1" thickBot="1" x14ac:dyDescent="0.3">
      <c r="C4496" s="116" t="s">
        <v>387</v>
      </c>
      <c r="D4496" s="117" t="s">
        <v>388</v>
      </c>
      <c r="E4496" s="118"/>
      <c r="F4496" s="118"/>
      <c r="G4496" s="165"/>
      <c r="H4496" s="144">
        <f>IF(AND(D4496&lt;&gt;"",F4496&lt;&gt;""),IF(C4496="",IF(F4496="OH",VLOOKUP(D4496,[1]UPAH!$B$3:$G$32,7,0),VLOOKUP(D4496,[1]BAHAN!$A$2:$D$3,4,0)),0),0)</f>
        <v>0</v>
      </c>
      <c r="I4496" s="126">
        <f>G4496*H4496</f>
        <v>0</v>
      </c>
    </row>
    <row r="4497" spans="2:10" ht="15.95" customHeight="1" thickBot="1" x14ac:dyDescent="0.3">
      <c r="C4497" s="132"/>
      <c r="D4497" s="133"/>
      <c r="E4497" s="134"/>
      <c r="F4497" s="134"/>
      <c r="G4497" s="135" t="s">
        <v>389</v>
      </c>
      <c r="H4497" s="136"/>
      <c r="I4497" s="137">
        <f>I4496</f>
        <v>0</v>
      </c>
    </row>
    <row r="4498" spans="2:10" ht="15.95" customHeight="1" x14ac:dyDescent="0.25">
      <c r="C4498" s="158" t="s">
        <v>390</v>
      </c>
      <c r="D4498" s="159" t="s">
        <v>391</v>
      </c>
      <c r="E4498" s="160"/>
      <c r="F4498" s="160"/>
      <c r="G4498" s="161"/>
      <c r="H4498" s="162">
        <f>IF(AND(D4498&lt;&gt;"",F4498&lt;&gt;""),IF(C4498="",IF(F4498="OH",VLOOKUP(D4498,[1]UPAH!$B$3:$G$32,7,0),VLOOKUP(D4498,[1]BAHAN!$A$2:$D$3,4,0)),0),0)</f>
        <v>0</v>
      </c>
      <c r="I4498" s="126">
        <f>SUM(I4487:I4497)/2</f>
        <v>544521</v>
      </c>
    </row>
    <row r="4499" spans="2:10" ht="15.95" customHeight="1" thickBot="1" x14ac:dyDescent="0.3">
      <c r="C4499" s="147" t="s">
        <v>392</v>
      </c>
      <c r="D4499" s="148" t="s">
        <v>393</v>
      </c>
      <c r="E4499" s="149"/>
      <c r="F4499" s="149"/>
      <c r="G4499" s="164">
        <v>0.1</v>
      </c>
      <c r="H4499" s="151"/>
      <c r="I4499" s="146">
        <f>G4499*I4498</f>
        <v>54452.100000000006</v>
      </c>
    </row>
    <row r="4500" spans="2:10" ht="15.95" customHeight="1" thickBot="1" x14ac:dyDescent="0.3">
      <c r="C4500" s="111" t="s">
        <v>394</v>
      </c>
      <c r="D4500" s="112" t="s">
        <v>395</v>
      </c>
      <c r="E4500" s="134"/>
      <c r="F4500" s="134"/>
      <c r="G4500" s="156"/>
      <c r="H4500" s="136">
        <f>IF(AND(D4500&lt;&gt;"",F4500&lt;&gt;""),IF(C4500="",IF(F4500="OH",VLOOKUP(D4500,[1]UPAH!$B$3:$G$32,7,0),VLOOKUP(D4500,[1]BAHAN!$A$2:$D$3,4,0)),0),0)</f>
        <v>0</v>
      </c>
      <c r="I4500" s="137">
        <f>ROUNDDOWN(I4498+I4499,0)</f>
        <v>598973</v>
      </c>
    </row>
    <row r="4501" spans="2:10" ht="15.95" customHeight="1" x14ac:dyDescent="0.25">
      <c r="C4501" s="109"/>
      <c r="D4501" s="109"/>
      <c r="G4501" s="157"/>
    </row>
    <row r="4502" spans="2:10" ht="15.95" customHeight="1" thickBot="1" x14ac:dyDescent="0.3">
      <c r="B4502" s="109" t="s">
        <v>1092</v>
      </c>
      <c r="C4502" s="104" t="s">
        <v>1093</v>
      </c>
      <c r="G4502" s="157"/>
      <c r="J4502" s="110">
        <f>I4520</f>
        <v>947855</v>
      </c>
    </row>
    <row r="4503" spans="2:10" ht="15.95" customHeight="1" thickBot="1" x14ac:dyDescent="0.3">
      <c r="C4503" s="111" t="s">
        <v>328</v>
      </c>
      <c r="D4503" s="112" t="s">
        <v>359</v>
      </c>
      <c r="E4503" s="113" t="s">
        <v>360</v>
      </c>
      <c r="F4503" s="113" t="s">
        <v>330</v>
      </c>
      <c r="G4503" s="114" t="s">
        <v>361</v>
      </c>
      <c r="H4503" s="112" t="s">
        <v>362</v>
      </c>
      <c r="I4503" s="115" t="s">
        <v>363</v>
      </c>
    </row>
    <row r="4504" spans="2:10" ht="15.95" customHeight="1" x14ac:dyDescent="0.25">
      <c r="C4504" s="116" t="s">
        <v>364</v>
      </c>
      <c r="D4504" s="117" t="s">
        <v>365</v>
      </c>
      <c r="E4504" s="118"/>
      <c r="F4504" s="118"/>
      <c r="G4504" s="165"/>
      <c r="H4504" s="144"/>
      <c r="I4504" s="126"/>
    </row>
    <row r="4505" spans="2:10" ht="15.95" customHeight="1" x14ac:dyDescent="0.25">
      <c r="C4505" s="122"/>
      <c r="D4505" s="117" t="s">
        <v>366</v>
      </c>
      <c r="E4505" s="123" t="s">
        <v>367</v>
      </c>
      <c r="F4505" s="123" t="s">
        <v>368</v>
      </c>
      <c r="G4505" s="124">
        <v>1</v>
      </c>
      <c r="H4505" s="125">
        <f>VLOOKUP(D4505,Upah,8,FALSE)</f>
        <v>125000</v>
      </c>
      <c r="I4505" s="126">
        <f>G4505*H4505</f>
        <v>125000</v>
      </c>
    </row>
    <row r="4506" spans="2:10" ht="15.95" customHeight="1" x14ac:dyDescent="0.25">
      <c r="C4506" s="122"/>
      <c r="D4506" s="117" t="s">
        <v>505</v>
      </c>
      <c r="E4506" s="123" t="s">
        <v>414</v>
      </c>
      <c r="F4506" s="123" t="s">
        <v>368</v>
      </c>
      <c r="G4506" s="124">
        <v>0.5</v>
      </c>
      <c r="H4506" s="125">
        <f>VLOOKUP(D4506,Upah,8,FALSE)</f>
        <v>150000</v>
      </c>
      <c r="I4506" s="126">
        <f>G4506*H4506</f>
        <v>75000</v>
      </c>
    </row>
    <row r="4507" spans="2:10" ht="15.95" customHeight="1" x14ac:dyDescent="0.25">
      <c r="C4507" s="122"/>
      <c r="D4507" s="117" t="s">
        <v>429</v>
      </c>
      <c r="E4507" s="123" t="s">
        <v>372</v>
      </c>
      <c r="F4507" s="123" t="s">
        <v>368</v>
      </c>
      <c r="G4507" s="124">
        <v>0.05</v>
      </c>
      <c r="H4507" s="125">
        <f>VLOOKUP(D4507,Upah,8,FALSE)</f>
        <v>165000</v>
      </c>
      <c r="I4507" s="126">
        <f>G4507*H4507</f>
        <v>8250</v>
      </c>
    </row>
    <row r="4508" spans="2:10" ht="15.95" customHeight="1" thickBot="1" x14ac:dyDescent="0.3">
      <c r="C4508" s="122"/>
      <c r="D4508" s="117" t="s">
        <v>373</v>
      </c>
      <c r="E4508" s="123" t="s">
        <v>374</v>
      </c>
      <c r="F4508" s="123" t="s">
        <v>368</v>
      </c>
      <c r="G4508" s="124">
        <v>0.05</v>
      </c>
      <c r="H4508" s="125">
        <f>VLOOKUP(D4508,Upah,8,FALSE)</f>
        <v>170000</v>
      </c>
      <c r="I4508" s="126">
        <f>G4508*H4508</f>
        <v>8500</v>
      </c>
    </row>
    <row r="4509" spans="2:10" ht="15.95" customHeight="1" thickBot="1" x14ac:dyDescent="0.3">
      <c r="C4509" s="132"/>
      <c r="D4509" s="133"/>
      <c r="E4509" s="134"/>
      <c r="F4509" s="134"/>
      <c r="G4509" s="135" t="s">
        <v>375</v>
      </c>
      <c r="H4509" s="136"/>
      <c r="I4509" s="137">
        <f>SUM(I4505:I4508)</f>
        <v>216750</v>
      </c>
    </row>
    <row r="4510" spans="2:10" ht="15.95" customHeight="1" x14ac:dyDescent="0.25">
      <c r="C4510" s="116" t="s">
        <v>376</v>
      </c>
      <c r="D4510" s="117" t="s">
        <v>377</v>
      </c>
      <c r="E4510" s="118"/>
      <c r="F4510" s="118"/>
      <c r="G4510" s="165"/>
      <c r="H4510" s="144"/>
      <c r="I4510" s="126"/>
    </row>
    <row r="4511" spans="2:10" ht="15.95" customHeight="1" x14ac:dyDescent="0.25">
      <c r="C4511" s="122"/>
      <c r="D4511" s="117" t="s">
        <v>1094</v>
      </c>
      <c r="E4511" s="118"/>
      <c r="F4511" s="123" t="s">
        <v>418</v>
      </c>
      <c r="G4511" s="124">
        <v>86</v>
      </c>
      <c r="H4511" s="144">
        <f>VLOOKUP(D4511,Bahan,6,FALSE)</f>
        <v>7200</v>
      </c>
      <c r="I4511" s="126">
        <f>G4511*H4511</f>
        <v>619200</v>
      </c>
    </row>
    <row r="4512" spans="2:10" ht="15.95" customHeight="1" x14ac:dyDescent="0.25">
      <c r="C4512" s="122"/>
      <c r="D4512" s="117" t="s">
        <v>380</v>
      </c>
      <c r="E4512" s="118"/>
      <c r="F4512" s="123" t="s">
        <v>159</v>
      </c>
      <c r="G4512" s="124">
        <v>9.3000000000000007</v>
      </c>
      <c r="H4512" s="144">
        <f>VLOOKUP(D4512,Bahan,6,FALSE)</f>
        <v>1880</v>
      </c>
      <c r="I4512" s="126">
        <f>G4512*H4512</f>
        <v>17484</v>
      </c>
    </row>
    <row r="4513" spans="2:10" ht="15.95" customHeight="1" x14ac:dyDescent="0.25">
      <c r="C4513" s="122"/>
      <c r="D4513" s="117" t="s">
        <v>493</v>
      </c>
      <c r="E4513" s="118"/>
      <c r="F4513" s="123" t="s">
        <v>489</v>
      </c>
      <c r="G4513" s="124">
        <v>1.7999999999999999E-2</v>
      </c>
      <c r="H4513" s="144">
        <f>VLOOKUP(D4513,Bahan,6,FALSE)</f>
        <v>253510</v>
      </c>
      <c r="I4513" s="126">
        <f>G4513*H4513</f>
        <v>4563.1799999999994</v>
      </c>
    </row>
    <row r="4514" spans="2:10" ht="15.95" customHeight="1" thickBot="1" x14ac:dyDescent="0.3">
      <c r="C4514" s="122"/>
      <c r="D4514" s="117" t="s">
        <v>960</v>
      </c>
      <c r="E4514" s="118"/>
      <c r="F4514" s="123" t="s">
        <v>159</v>
      </c>
      <c r="G4514" s="124">
        <v>1.5</v>
      </c>
      <c r="H4514" s="144">
        <f>VLOOKUP(D4514,Bahan,6,FALSE)</f>
        <v>2460</v>
      </c>
      <c r="I4514" s="126">
        <f>G4514*H4514</f>
        <v>3690</v>
      </c>
    </row>
    <row r="4515" spans="2:10" ht="15.95" customHeight="1" thickBot="1" x14ac:dyDescent="0.3">
      <c r="C4515" s="132"/>
      <c r="D4515" s="133"/>
      <c r="E4515" s="134"/>
      <c r="F4515" s="134"/>
      <c r="G4515" s="135" t="s">
        <v>386</v>
      </c>
      <c r="H4515" s="136"/>
      <c r="I4515" s="137">
        <f>SUM(I4511:I4514)</f>
        <v>644937.18000000005</v>
      </c>
    </row>
    <row r="4516" spans="2:10" ht="15.95" customHeight="1" thickBot="1" x14ac:dyDescent="0.3">
      <c r="C4516" s="116" t="s">
        <v>387</v>
      </c>
      <c r="D4516" s="117" t="s">
        <v>388</v>
      </c>
      <c r="E4516" s="118"/>
      <c r="F4516" s="118"/>
      <c r="G4516" s="165"/>
      <c r="H4516" s="144">
        <f>IF(AND(D4516&lt;&gt;"",F4516&lt;&gt;""),IF(C4516="",IF(F4516="OH",VLOOKUP(D4516,[1]UPAH!$B$3:$G$32,7,0),VLOOKUP(D4516,[1]BAHAN!$A$2:$D$3,4,0)),0),0)</f>
        <v>0</v>
      </c>
      <c r="I4516" s="126">
        <f>G4516*H4516</f>
        <v>0</v>
      </c>
    </row>
    <row r="4517" spans="2:10" ht="15.95" customHeight="1" thickBot="1" x14ac:dyDescent="0.3">
      <c r="C4517" s="132"/>
      <c r="D4517" s="133"/>
      <c r="E4517" s="134"/>
      <c r="F4517" s="134"/>
      <c r="G4517" s="135" t="s">
        <v>389</v>
      </c>
      <c r="H4517" s="136"/>
      <c r="I4517" s="137">
        <f>I4516</f>
        <v>0</v>
      </c>
    </row>
    <row r="4518" spans="2:10" ht="15.95" customHeight="1" x14ac:dyDescent="0.25">
      <c r="C4518" s="158" t="s">
        <v>390</v>
      </c>
      <c r="D4518" s="159" t="s">
        <v>391</v>
      </c>
      <c r="E4518" s="160"/>
      <c r="F4518" s="160"/>
      <c r="G4518" s="161"/>
      <c r="H4518" s="162">
        <f>IF(AND(D4518&lt;&gt;"",F4518&lt;&gt;""),IF(C4518="",IF(F4518="OH",VLOOKUP(D4518,[1]UPAH!$B$3:$G$32,7,0),VLOOKUP(D4518,[1]BAHAN!$A$2:$D$3,4,0)),0),0)</f>
        <v>0</v>
      </c>
      <c r="I4518" s="126">
        <f>SUM(I4505:I4517)/2</f>
        <v>861687.17999999993</v>
      </c>
    </row>
    <row r="4519" spans="2:10" ht="15.95" customHeight="1" thickBot="1" x14ac:dyDescent="0.3">
      <c r="C4519" s="147" t="s">
        <v>392</v>
      </c>
      <c r="D4519" s="148" t="s">
        <v>393</v>
      </c>
      <c r="E4519" s="149"/>
      <c r="F4519" s="149"/>
      <c r="G4519" s="164">
        <v>0.1</v>
      </c>
      <c r="H4519" s="151"/>
      <c r="I4519" s="146">
        <f>G4519*I4518</f>
        <v>86168.717999999993</v>
      </c>
    </row>
    <row r="4520" spans="2:10" ht="15.95" customHeight="1" thickBot="1" x14ac:dyDescent="0.3">
      <c r="C4520" s="111" t="s">
        <v>394</v>
      </c>
      <c r="D4520" s="112" t="s">
        <v>395</v>
      </c>
      <c r="E4520" s="134"/>
      <c r="F4520" s="134"/>
      <c r="G4520" s="156"/>
      <c r="H4520" s="136">
        <f>IF(AND(D4520&lt;&gt;"",F4520&lt;&gt;""),IF(C4520="",IF(F4520="OH",VLOOKUP(D4520,[1]UPAH!$B$3:$G$32,7,0),VLOOKUP(D4520,[1]BAHAN!$A$2:$D$3,4,0)),0),0)</f>
        <v>0</v>
      </c>
      <c r="I4520" s="137">
        <f>ROUNDDOWN(I4518+I4519,0)</f>
        <v>947855</v>
      </c>
    </row>
    <row r="4521" spans="2:10" ht="15.95" customHeight="1" x14ac:dyDescent="0.25">
      <c r="C4521" s="109"/>
      <c r="D4521" s="109"/>
      <c r="G4521" s="157"/>
    </row>
    <row r="4522" spans="2:10" ht="15.95" customHeight="1" thickBot="1" x14ac:dyDescent="0.3">
      <c r="B4522" s="109" t="s">
        <v>1095</v>
      </c>
      <c r="C4522" s="104" t="s">
        <v>1096</v>
      </c>
      <c r="G4522" s="157"/>
      <c r="J4522" s="110">
        <f>I4540</f>
        <v>590245</v>
      </c>
    </row>
    <row r="4523" spans="2:10" ht="15.95" customHeight="1" thickBot="1" x14ac:dyDescent="0.3">
      <c r="C4523" s="111" t="s">
        <v>328</v>
      </c>
      <c r="D4523" s="112" t="s">
        <v>359</v>
      </c>
      <c r="E4523" s="113" t="s">
        <v>360</v>
      </c>
      <c r="F4523" s="113" t="s">
        <v>330</v>
      </c>
      <c r="G4523" s="114" t="s">
        <v>361</v>
      </c>
      <c r="H4523" s="112" t="s">
        <v>362</v>
      </c>
      <c r="I4523" s="115" t="s">
        <v>363</v>
      </c>
    </row>
    <row r="4524" spans="2:10" ht="15.95" customHeight="1" x14ac:dyDescent="0.25">
      <c r="C4524" s="116" t="s">
        <v>364</v>
      </c>
      <c r="D4524" s="117" t="s">
        <v>365</v>
      </c>
      <c r="E4524" s="118"/>
      <c r="F4524" s="118"/>
      <c r="G4524" s="165"/>
      <c r="H4524" s="144"/>
      <c r="I4524" s="126"/>
    </row>
    <row r="4525" spans="2:10" ht="15.95" customHeight="1" x14ac:dyDescent="0.25">
      <c r="C4525" s="122"/>
      <c r="D4525" s="117" t="s">
        <v>366</v>
      </c>
      <c r="E4525" s="123" t="s">
        <v>367</v>
      </c>
      <c r="F4525" s="123" t="s">
        <v>368</v>
      </c>
      <c r="G4525" s="124">
        <v>0.9</v>
      </c>
      <c r="H4525" s="125">
        <f>VLOOKUP(D4525,Upah,8,FALSE)</f>
        <v>125000</v>
      </c>
      <c r="I4525" s="126">
        <f>G4525*H4525</f>
        <v>112500</v>
      </c>
    </row>
    <row r="4526" spans="2:10" ht="15.95" customHeight="1" x14ac:dyDescent="0.25">
      <c r="C4526" s="122"/>
      <c r="D4526" s="117" t="s">
        <v>505</v>
      </c>
      <c r="E4526" s="123" t="s">
        <v>414</v>
      </c>
      <c r="F4526" s="123" t="s">
        <v>368</v>
      </c>
      <c r="G4526" s="124">
        <v>0.45</v>
      </c>
      <c r="H4526" s="125">
        <f>VLOOKUP(D4526,Upah,8,FALSE)</f>
        <v>150000</v>
      </c>
      <c r="I4526" s="126">
        <f>G4526*H4526</f>
        <v>67500</v>
      </c>
    </row>
    <row r="4527" spans="2:10" ht="15.95" customHeight="1" x14ac:dyDescent="0.25">
      <c r="C4527" s="122"/>
      <c r="D4527" s="117" t="s">
        <v>429</v>
      </c>
      <c r="E4527" s="123" t="s">
        <v>372</v>
      </c>
      <c r="F4527" s="123" t="s">
        <v>368</v>
      </c>
      <c r="G4527" s="124">
        <v>4.4999999999999998E-2</v>
      </c>
      <c r="H4527" s="125">
        <f>VLOOKUP(D4527,Upah,8,FALSE)</f>
        <v>165000</v>
      </c>
      <c r="I4527" s="126">
        <f>G4527*H4527</f>
        <v>7425</v>
      </c>
    </row>
    <row r="4528" spans="2:10" ht="15.95" customHeight="1" thickBot="1" x14ac:dyDescent="0.3">
      <c r="C4528" s="122"/>
      <c r="D4528" s="117" t="s">
        <v>373</v>
      </c>
      <c r="E4528" s="123" t="s">
        <v>374</v>
      </c>
      <c r="F4528" s="123" t="s">
        <v>368</v>
      </c>
      <c r="G4528" s="124">
        <v>4.4999999999999998E-2</v>
      </c>
      <c r="H4528" s="125">
        <f>VLOOKUP(D4528,Upah,8,FALSE)</f>
        <v>170000</v>
      </c>
      <c r="I4528" s="126">
        <f>G4528*H4528</f>
        <v>7650</v>
      </c>
    </row>
    <row r="4529" spans="2:10" ht="15.95" customHeight="1" thickBot="1" x14ac:dyDescent="0.3">
      <c r="C4529" s="132"/>
      <c r="D4529" s="133"/>
      <c r="E4529" s="134"/>
      <c r="F4529" s="134"/>
      <c r="G4529" s="135" t="s">
        <v>375</v>
      </c>
      <c r="H4529" s="136"/>
      <c r="I4529" s="137">
        <f>SUM(I4525:I4528)</f>
        <v>195075</v>
      </c>
    </row>
    <row r="4530" spans="2:10" ht="15.95" customHeight="1" x14ac:dyDescent="0.25">
      <c r="C4530" s="116" t="s">
        <v>376</v>
      </c>
      <c r="D4530" s="117" t="s">
        <v>377</v>
      </c>
      <c r="E4530" s="118"/>
      <c r="F4530" s="118"/>
      <c r="G4530" s="165"/>
      <c r="H4530" s="144"/>
      <c r="I4530" s="126"/>
    </row>
    <row r="4531" spans="2:10" ht="15.95" customHeight="1" x14ac:dyDescent="0.25">
      <c r="C4531" s="122"/>
      <c r="D4531" s="117" t="s">
        <v>1097</v>
      </c>
      <c r="E4531" s="118"/>
      <c r="F4531" s="123" t="s">
        <v>418</v>
      </c>
      <c r="G4531" s="124">
        <v>53</v>
      </c>
      <c r="H4531" s="144">
        <f>VLOOKUP(D4531,Bahan,6,FALSE)</f>
        <v>5900</v>
      </c>
      <c r="I4531" s="126">
        <f>G4531*H4531</f>
        <v>312700</v>
      </c>
    </row>
    <row r="4532" spans="2:10" ht="15.95" customHeight="1" x14ac:dyDescent="0.25">
      <c r="C4532" s="122"/>
      <c r="D4532" s="117" t="s">
        <v>380</v>
      </c>
      <c r="E4532" s="118"/>
      <c r="F4532" s="123" t="s">
        <v>159</v>
      </c>
      <c r="G4532" s="124">
        <v>9.3000000000000007</v>
      </c>
      <c r="H4532" s="144">
        <f>VLOOKUP(D4532,Bahan,6,FALSE)</f>
        <v>1880</v>
      </c>
      <c r="I4532" s="126">
        <f>G4532*H4532</f>
        <v>17484</v>
      </c>
    </row>
    <row r="4533" spans="2:10" ht="15.95" customHeight="1" x14ac:dyDescent="0.25">
      <c r="C4533" s="122"/>
      <c r="D4533" s="117" t="s">
        <v>493</v>
      </c>
      <c r="E4533" s="118"/>
      <c r="F4533" s="123" t="s">
        <v>489</v>
      </c>
      <c r="G4533" s="124">
        <v>1.7999999999999999E-2</v>
      </c>
      <c r="H4533" s="144">
        <f>VLOOKUP(D4533,Bahan,6,FALSE)</f>
        <v>253510</v>
      </c>
      <c r="I4533" s="126">
        <f>G4533*H4533</f>
        <v>4563.1799999999994</v>
      </c>
    </row>
    <row r="4534" spans="2:10" ht="15.95" customHeight="1" thickBot="1" x14ac:dyDescent="0.3">
      <c r="C4534" s="122"/>
      <c r="D4534" s="117" t="s">
        <v>960</v>
      </c>
      <c r="E4534" s="118"/>
      <c r="F4534" s="123" t="s">
        <v>159</v>
      </c>
      <c r="G4534" s="124">
        <v>2.75</v>
      </c>
      <c r="H4534" s="144">
        <f>VLOOKUP(D4534,Bahan,6,FALSE)</f>
        <v>2460</v>
      </c>
      <c r="I4534" s="126">
        <f>G4534*H4534</f>
        <v>6765</v>
      </c>
    </row>
    <row r="4535" spans="2:10" ht="15.95" customHeight="1" thickBot="1" x14ac:dyDescent="0.3">
      <c r="C4535" s="132"/>
      <c r="D4535" s="133"/>
      <c r="E4535" s="134"/>
      <c r="F4535" s="134"/>
      <c r="G4535" s="135" t="s">
        <v>386</v>
      </c>
      <c r="H4535" s="136"/>
      <c r="I4535" s="137">
        <f>SUM(I4531:I4534)</f>
        <v>341512.18</v>
      </c>
    </row>
    <row r="4536" spans="2:10" ht="15.95" customHeight="1" thickBot="1" x14ac:dyDescent="0.3">
      <c r="C4536" s="116" t="s">
        <v>387</v>
      </c>
      <c r="D4536" s="117" t="s">
        <v>388</v>
      </c>
      <c r="E4536" s="118"/>
      <c r="F4536" s="118"/>
      <c r="G4536" s="165"/>
      <c r="H4536" s="144">
        <f>IF(AND(D4536&lt;&gt;"",F4536&lt;&gt;""),IF(C4536="",IF(F4536="OH",VLOOKUP(D4536,[1]UPAH!$B$3:$G$32,7,0),VLOOKUP(D4536,[1]BAHAN!$A$2:$D$3,4,0)),0),0)</f>
        <v>0</v>
      </c>
      <c r="I4536" s="126">
        <f>G4536*H4536</f>
        <v>0</v>
      </c>
    </row>
    <row r="4537" spans="2:10" ht="15.95" customHeight="1" thickBot="1" x14ac:dyDescent="0.3">
      <c r="C4537" s="132"/>
      <c r="D4537" s="133"/>
      <c r="E4537" s="134"/>
      <c r="F4537" s="134"/>
      <c r="G4537" s="135" t="s">
        <v>389</v>
      </c>
      <c r="H4537" s="136"/>
      <c r="I4537" s="137">
        <f>I4536</f>
        <v>0</v>
      </c>
    </row>
    <row r="4538" spans="2:10" ht="15.95" customHeight="1" x14ac:dyDescent="0.25">
      <c r="C4538" s="158" t="s">
        <v>390</v>
      </c>
      <c r="D4538" s="159" t="s">
        <v>391</v>
      </c>
      <c r="E4538" s="160"/>
      <c r="F4538" s="160"/>
      <c r="G4538" s="161"/>
      <c r="H4538" s="162">
        <f>IF(AND(D4538&lt;&gt;"",F4538&lt;&gt;""),IF(C4538="",IF(F4538="OH",VLOOKUP(D4538,[1]UPAH!$B$3:$G$32,7,0),VLOOKUP(D4538,[1]BAHAN!$A$2:$D$3,4,0)),0),0)</f>
        <v>0</v>
      </c>
      <c r="I4538" s="126">
        <f>SUM(I4524:I4537)/2</f>
        <v>536587.18000000005</v>
      </c>
    </row>
    <row r="4539" spans="2:10" ht="15.95" customHeight="1" thickBot="1" x14ac:dyDescent="0.3">
      <c r="C4539" s="147" t="s">
        <v>392</v>
      </c>
      <c r="D4539" s="148" t="s">
        <v>393</v>
      </c>
      <c r="E4539" s="149"/>
      <c r="F4539" s="149"/>
      <c r="G4539" s="164">
        <v>0.1</v>
      </c>
      <c r="H4539" s="151"/>
      <c r="I4539" s="146">
        <f>G4539*I4538</f>
        <v>53658.718000000008</v>
      </c>
    </row>
    <row r="4540" spans="2:10" ht="15.95" customHeight="1" thickBot="1" x14ac:dyDescent="0.3">
      <c r="C4540" s="111" t="s">
        <v>394</v>
      </c>
      <c r="D4540" s="112" t="s">
        <v>395</v>
      </c>
      <c r="E4540" s="134"/>
      <c r="F4540" s="134"/>
      <c r="G4540" s="156"/>
      <c r="H4540" s="136">
        <f>IF(AND(D4540&lt;&gt;"",F4540&lt;&gt;""),IF(C4540="",IF(F4540="OH",VLOOKUP(D4540,[1]UPAH!$B$3:$G$32,7,0),VLOOKUP(D4540,[1]BAHAN!$A$2:$D$3,4,0)),0),0)</f>
        <v>0</v>
      </c>
      <c r="I4540" s="137">
        <f>ROUNDDOWN(I4538+I4539,0)</f>
        <v>590245</v>
      </c>
    </row>
    <row r="4541" spans="2:10" ht="15.95" customHeight="1" x14ac:dyDescent="0.25">
      <c r="C4541" s="109"/>
      <c r="D4541" s="109"/>
      <c r="G4541" s="157"/>
    </row>
    <row r="4542" spans="2:10" ht="15.95" customHeight="1" thickBot="1" x14ac:dyDescent="0.3">
      <c r="B4542" s="109" t="s">
        <v>1098</v>
      </c>
      <c r="C4542" s="104" t="s">
        <v>1099</v>
      </c>
      <c r="G4542" s="157"/>
      <c r="J4542" s="110">
        <f>I4560</f>
        <v>494334</v>
      </c>
    </row>
    <row r="4543" spans="2:10" ht="15.95" customHeight="1" thickBot="1" x14ac:dyDescent="0.3">
      <c r="C4543" s="111" t="s">
        <v>328</v>
      </c>
      <c r="D4543" s="112" t="s">
        <v>359</v>
      </c>
      <c r="E4543" s="113" t="s">
        <v>360</v>
      </c>
      <c r="F4543" s="113" t="s">
        <v>330</v>
      </c>
      <c r="G4543" s="114" t="s">
        <v>361</v>
      </c>
      <c r="H4543" s="112" t="s">
        <v>362</v>
      </c>
      <c r="I4543" s="115" t="s">
        <v>363</v>
      </c>
    </row>
    <row r="4544" spans="2:10" ht="15.95" customHeight="1" x14ac:dyDescent="0.25">
      <c r="C4544" s="116" t="s">
        <v>364</v>
      </c>
      <c r="D4544" s="117" t="s">
        <v>365</v>
      </c>
      <c r="E4544" s="118"/>
      <c r="F4544" s="118"/>
      <c r="G4544" s="165"/>
      <c r="H4544" s="144"/>
      <c r="I4544" s="126"/>
    </row>
    <row r="4545" spans="3:9" ht="15.95" customHeight="1" x14ac:dyDescent="0.25">
      <c r="C4545" s="122"/>
      <c r="D4545" s="117" t="s">
        <v>366</v>
      </c>
      <c r="E4545" s="123" t="s">
        <v>367</v>
      </c>
      <c r="F4545" s="123" t="s">
        <v>368</v>
      </c>
      <c r="G4545" s="124">
        <v>0.9</v>
      </c>
      <c r="H4545" s="125">
        <f>VLOOKUP(D4545,Upah,8,FALSE)</f>
        <v>125000</v>
      </c>
      <c r="I4545" s="126">
        <f>G4545*H4545</f>
        <v>112500</v>
      </c>
    </row>
    <row r="4546" spans="3:9" ht="15.95" customHeight="1" x14ac:dyDescent="0.25">
      <c r="C4546" s="122"/>
      <c r="D4546" s="117" t="s">
        <v>505</v>
      </c>
      <c r="E4546" s="123" t="s">
        <v>414</v>
      </c>
      <c r="F4546" s="123" t="s">
        <v>368</v>
      </c>
      <c r="G4546" s="124">
        <v>0.45</v>
      </c>
      <c r="H4546" s="125">
        <f>VLOOKUP(D4546,Upah,8,FALSE)</f>
        <v>150000</v>
      </c>
      <c r="I4546" s="126">
        <f>G4546*H4546</f>
        <v>67500</v>
      </c>
    </row>
    <row r="4547" spans="3:9" ht="15.95" customHeight="1" x14ac:dyDescent="0.25">
      <c r="C4547" s="122"/>
      <c r="D4547" s="117" t="s">
        <v>429</v>
      </c>
      <c r="E4547" s="123" t="s">
        <v>372</v>
      </c>
      <c r="F4547" s="123" t="s">
        <v>368</v>
      </c>
      <c r="G4547" s="124">
        <v>4.4999999999999998E-2</v>
      </c>
      <c r="H4547" s="125">
        <f>VLOOKUP(D4547,Upah,8,FALSE)</f>
        <v>165000</v>
      </c>
      <c r="I4547" s="126">
        <f>G4547*H4547</f>
        <v>7425</v>
      </c>
    </row>
    <row r="4548" spans="3:9" ht="15.95" customHeight="1" thickBot="1" x14ac:dyDescent="0.3">
      <c r="C4548" s="122"/>
      <c r="D4548" s="117" t="s">
        <v>373</v>
      </c>
      <c r="E4548" s="123" t="s">
        <v>374</v>
      </c>
      <c r="F4548" s="123" t="s">
        <v>368</v>
      </c>
      <c r="G4548" s="124">
        <v>4.4999999999999998E-2</v>
      </c>
      <c r="H4548" s="125">
        <f>VLOOKUP(D4548,Upah,8,FALSE)</f>
        <v>170000</v>
      </c>
      <c r="I4548" s="126">
        <f>G4548*H4548</f>
        <v>7650</v>
      </c>
    </row>
    <row r="4549" spans="3:9" ht="15.95" customHeight="1" thickBot="1" x14ac:dyDescent="0.3">
      <c r="C4549" s="132"/>
      <c r="D4549" s="133"/>
      <c r="E4549" s="134"/>
      <c r="F4549" s="134"/>
      <c r="G4549" s="135" t="s">
        <v>375</v>
      </c>
      <c r="H4549" s="136"/>
      <c r="I4549" s="137">
        <f>SUM(I4545:I4548)</f>
        <v>195075</v>
      </c>
    </row>
    <row r="4550" spans="3:9" ht="15.95" customHeight="1" x14ac:dyDescent="0.25">
      <c r="C4550" s="116" t="s">
        <v>376</v>
      </c>
      <c r="D4550" s="117" t="s">
        <v>377</v>
      </c>
      <c r="E4550" s="118"/>
      <c r="F4550" s="118"/>
      <c r="G4550" s="165"/>
      <c r="H4550" s="144"/>
      <c r="I4550" s="126"/>
    </row>
    <row r="4551" spans="3:9" ht="15.95" customHeight="1" x14ac:dyDescent="0.25">
      <c r="C4551" s="122"/>
      <c r="D4551" s="117" t="s">
        <v>1100</v>
      </c>
      <c r="E4551" s="118"/>
      <c r="F4551" s="123" t="s">
        <v>418</v>
      </c>
      <c r="G4551" s="124">
        <v>26</v>
      </c>
      <c r="H4551" s="144">
        <f>VLOOKUP(D4551,Bahan,6,FALSE)</f>
        <v>8750</v>
      </c>
      <c r="I4551" s="126">
        <f>G4551*H4551</f>
        <v>227500</v>
      </c>
    </row>
    <row r="4552" spans="3:9" ht="15.95" customHeight="1" x14ac:dyDescent="0.25">
      <c r="C4552" s="122"/>
      <c r="D4552" s="117" t="s">
        <v>380</v>
      </c>
      <c r="E4552" s="118"/>
      <c r="F4552" s="123" t="s">
        <v>159</v>
      </c>
      <c r="G4552" s="124">
        <v>9.3000000000000007</v>
      </c>
      <c r="H4552" s="144">
        <f>VLOOKUP(D4552,Bahan,6,FALSE)</f>
        <v>1880</v>
      </c>
      <c r="I4552" s="126">
        <f>G4552*H4552</f>
        <v>17484</v>
      </c>
    </row>
    <row r="4553" spans="3:9" ht="15.95" customHeight="1" x14ac:dyDescent="0.25">
      <c r="C4553" s="122"/>
      <c r="D4553" s="117" t="s">
        <v>493</v>
      </c>
      <c r="E4553" s="118"/>
      <c r="F4553" s="123" t="s">
        <v>489</v>
      </c>
      <c r="G4553" s="124">
        <v>1.7999999999999999E-2</v>
      </c>
      <c r="H4553" s="144">
        <f>VLOOKUP(D4553,Bahan,6,FALSE)</f>
        <v>253510</v>
      </c>
      <c r="I4553" s="126">
        <f>G4553*H4553</f>
        <v>4563.1799999999994</v>
      </c>
    </row>
    <row r="4554" spans="3:9" ht="15.95" customHeight="1" thickBot="1" x14ac:dyDescent="0.3">
      <c r="C4554" s="122"/>
      <c r="D4554" s="117" t="s">
        <v>960</v>
      </c>
      <c r="E4554" s="118"/>
      <c r="F4554" s="123" t="s">
        <v>159</v>
      </c>
      <c r="G4554" s="124">
        <v>1.94</v>
      </c>
      <c r="H4554" s="144">
        <f>VLOOKUP(D4554,Bahan,6,FALSE)</f>
        <v>2460</v>
      </c>
      <c r="I4554" s="126">
        <f>G4554*H4554</f>
        <v>4772.3999999999996</v>
      </c>
    </row>
    <row r="4555" spans="3:9" ht="15.95" customHeight="1" thickBot="1" x14ac:dyDescent="0.3">
      <c r="C4555" s="132"/>
      <c r="D4555" s="133"/>
      <c r="E4555" s="134"/>
      <c r="F4555" s="134"/>
      <c r="G4555" s="135" t="s">
        <v>386</v>
      </c>
      <c r="H4555" s="136"/>
      <c r="I4555" s="137">
        <f>SUM(I4551:I4554)</f>
        <v>254319.58</v>
      </c>
    </row>
    <row r="4556" spans="3:9" ht="15.95" customHeight="1" thickBot="1" x14ac:dyDescent="0.3">
      <c r="C4556" s="116" t="s">
        <v>387</v>
      </c>
      <c r="D4556" s="117" t="s">
        <v>388</v>
      </c>
      <c r="E4556" s="118"/>
      <c r="F4556" s="118"/>
      <c r="G4556" s="165"/>
      <c r="H4556" s="144">
        <f>IF(AND(D4556&lt;&gt;"",F4556&lt;&gt;""),IF(C4556="",IF(F4556="OH",VLOOKUP(D4556,[1]UPAH!$B$3:$G$32,7,0),VLOOKUP(D4556,[1]BAHAN!$A$2:$D$3,4,0)),0),0)</f>
        <v>0</v>
      </c>
      <c r="I4556" s="126">
        <f>G4556*H4556</f>
        <v>0</v>
      </c>
    </row>
    <row r="4557" spans="3:9" ht="15.95" customHeight="1" thickBot="1" x14ac:dyDescent="0.3">
      <c r="C4557" s="132"/>
      <c r="D4557" s="133"/>
      <c r="E4557" s="134"/>
      <c r="F4557" s="134"/>
      <c r="G4557" s="135" t="s">
        <v>389</v>
      </c>
      <c r="H4557" s="136"/>
      <c r="I4557" s="137">
        <f>I4556</f>
        <v>0</v>
      </c>
    </row>
    <row r="4558" spans="3:9" ht="15.95" customHeight="1" x14ac:dyDescent="0.25">
      <c r="C4558" s="158" t="s">
        <v>390</v>
      </c>
      <c r="D4558" s="159" t="s">
        <v>391</v>
      </c>
      <c r="E4558" s="160"/>
      <c r="F4558" s="160"/>
      <c r="G4558" s="161"/>
      <c r="H4558" s="162">
        <f>IF(AND(D4558&lt;&gt;"",F4558&lt;&gt;""),IF(C4558="",IF(F4558="OH",VLOOKUP(D4558,[1]UPAH!$B$3:$G$32,7,0),VLOOKUP(D4558,[1]BAHAN!$A$2:$D$3,4,0)),0),0)</f>
        <v>0</v>
      </c>
      <c r="I4558" s="126">
        <f>SUM(I4545:I4557)/2</f>
        <v>449394.58</v>
      </c>
    </row>
    <row r="4559" spans="3:9" ht="15.95" customHeight="1" thickBot="1" x14ac:dyDescent="0.3">
      <c r="C4559" s="147" t="s">
        <v>392</v>
      </c>
      <c r="D4559" s="148" t="s">
        <v>393</v>
      </c>
      <c r="E4559" s="149"/>
      <c r="F4559" s="149"/>
      <c r="G4559" s="164">
        <v>0.1</v>
      </c>
      <c r="H4559" s="151"/>
      <c r="I4559" s="146">
        <f>G4559*I4558</f>
        <v>44939.458000000006</v>
      </c>
    </row>
    <row r="4560" spans="3:9" ht="15.95" customHeight="1" thickBot="1" x14ac:dyDescent="0.3">
      <c r="C4560" s="111" t="s">
        <v>394</v>
      </c>
      <c r="D4560" s="112" t="s">
        <v>395</v>
      </c>
      <c r="E4560" s="134"/>
      <c r="F4560" s="134"/>
      <c r="G4560" s="156"/>
      <c r="H4560" s="136">
        <f>IF(AND(D4560&lt;&gt;"",F4560&lt;&gt;""),IF(C4560="",IF(F4560="OH",VLOOKUP(D4560,[1]UPAH!$B$3:$G$32,7,0),VLOOKUP(D4560,[1]BAHAN!$A$2:$D$3,4,0)),0),0)</f>
        <v>0</v>
      </c>
      <c r="I4560" s="137">
        <f>ROUNDDOWN(I4558+I4559,0)</f>
        <v>494334</v>
      </c>
    </row>
    <row r="4561" spans="2:10" ht="15.95" customHeight="1" x14ac:dyDescent="0.25">
      <c r="C4561" s="109"/>
      <c r="D4561" s="109"/>
      <c r="G4561" s="157"/>
    </row>
    <row r="4562" spans="2:10" ht="15.95" customHeight="1" thickBot="1" x14ac:dyDescent="0.3">
      <c r="B4562" s="109" t="s">
        <v>1101</v>
      </c>
      <c r="C4562" s="104" t="s">
        <v>1102</v>
      </c>
      <c r="G4562" s="157"/>
      <c r="J4562" s="110">
        <f>I4580</f>
        <v>357045</v>
      </c>
    </row>
    <row r="4563" spans="2:10" ht="15.95" customHeight="1" thickBot="1" x14ac:dyDescent="0.3">
      <c r="C4563" s="111" t="s">
        <v>328</v>
      </c>
      <c r="D4563" s="112" t="s">
        <v>359</v>
      </c>
      <c r="E4563" s="113" t="s">
        <v>360</v>
      </c>
      <c r="F4563" s="113" t="s">
        <v>330</v>
      </c>
      <c r="G4563" s="114" t="s">
        <v>361</v>
      </c>
      <c r="H4563" s="112" t="s">
        <v>362</v>
      </c>
      <c r="I4563" s="115" t="s">
        <v>363</v>
      </c>
    </row>
    <row r="4564" spans="2:10" ht="15.95" customHeight="1" x14ac:dyDescent="0.25">
      <c r="C4564" s="116" t="s">
        <v>364</v>
      </c>
      <c r="D4564" s="117" t="s">
        <v>365</v>
      </c>
      <c r="E4564" s="118"/>
      <c r="F4564" s="118"/>
      <c r="G4564" s="165"/>
      <c r="H4564" s="144"/>
      <c r="I4564" s="126"/>
    </row>
    <row r="4565" spans="2:10" ht="15.95" customHeight="1" x14ac:dyDescent="0.25">
      <c r="C4565" s="122"/>
      <c r="D4565" s="117" t="s">
        <v>366</v>
      </c>
      <c r="E4565" s="123" t="s">
        <v>367</v>
      </c>
      <c r="F4565" s="123" t="s">
        <v>368</v>
      </c>
      <c r="G4565" s="124">
        <v>0.9</v>
      </c>
      <c r="H4565" s="125">
        <f>VLOOKUP(D4565,Upah,8,FALSE)</f>
        <v>125000</v>
      </c>
      <c r="I4565" s="126">
        <f>G4565*H4565</f>
        <v>112500</v>
      </c>
    </row>
    <row r="4566" spans="2:10" ht="15.95" customHeight="1" x14ac:dyDescent="0.25">
      <c r="C4566" s="122"/>
      <c r="D4566" s="117" t="s">
        <v>505</v>
      </c>
      <c r="E4566" s="123" t="s">
        <v>414</v>
      </c>
      <c r="F4566" s="123" t="s">
        <v>368</v>
      </c>
      <c r="G4566" s="124">
        <v>0.45</v>
      </c>
      <c r="H4566" s="125">
        <f>VLOOKUP(D4566,Upah,8,FALSE)</f>
        <v>150000</v>
      </c>
      <c r="I4566" s="126">
        <f>G4566*H4566</f>
        <v>67500</v>
      </c>
    </row>
    <row r="4567" spans="2:10" ht="15.95" customHeight="1" x14ac:dyDescent="0.25">
      <c r="C4567" s="122"/>
      <c r="D4567" s="117" t="s">
        <v>429</v>
      </c>
      <c r="E4567" s="123" t="s">
        <v>372</v>
      </c>
      <c r="F4567" s="123" t="s">
        <v>368</v>
      </c>
      <c r="G4567" s="124">
        <v>4.4999999999999998E-2</v>
      </c>
      <c r="H4567" s="125">
        <f>VLOOKUP(D4567,Upah,8,FALSE)</f>
        <v>165000</v>
      </c>
      <c r="I4567" s="126">
        <f>G4567*H4567</f>
        <v>7425</v>
      </c>
    </row>
    <row r="4568" spans="2:10" ht="15.95" customHeight="1" thickBot="1" x14ac:dyDescent="0.3">
      <c r="C4568" s="122"/>
      <c r="D4568" s="117" t="s">
        <v>373</v>
      </c>
      <c r="E4568" s="123" t="s">
        <v>374</v>
      </c>
      <c r="F4568" s="123" t="s">
        <v>368</v>
      </c>
      <c r="G4568" s="124">
        <v>4.4999999999999998E-2</v>
      </c>
      <c r="H4568" s="125">
        <f>VLOOKUP(D4568,Upah,8,FALSE)</f>
        <v>170000</v>
      </c>
      <c r="I4568" s="126">
        <f>G4568*H4568</f>
        <v>7650</v>
      </c>
    </row>
    <row r="4569" spans="2:10" ht="15.95" customHeight="1" thickBot="1" x14ac:dyDescent="0.3">
      <c r="C4569" s="132"/>
      <c r="D4569" s="133"/>
      <c r="E4569" s="134"/>
      <c r="F4569" s="134"/>
      <c r="G4569" s="135" t="s">
        <v>375</v>
      </c>
      <c r="H4569" s="136"/>
      <c r="I4569" s="137">
        <f>SUM(I4565:I4568)</f>
        <v>195075</v>
      </c>
    </row>
    <row r="4570" spans="2:10" ht="15.95" customHeight="1" x14ac:dyDescent="0.25">
      <c r="C4570" s="116" t="s">
        <v>376</v>
      </c>
      <c r="D4570" s="117" t="s">
        <v>377</v>
      </c>
      <c r="E4570" s="118"/>
      <c r="F4570" s="118"/>
      <c r="G4570" s="165"/>
      <c r="H4570" s="144"/>
      <c r="I4570" s="126"/>
    </row>
    <row r="4571" spans="2:10" ht="15.95" customHeight="1" x14ac:dyDescent="0.25">
      <c r="C4571" s="122"/>
      <c r="D4571" s="117" t="s">
        <v>1103</v>
      </c>
      <c r="E4571" s="118"/>
      <c r="F4571" s="123" t="s">
        <v>418</v>
      </c>
      <c r="G4571" s="124">
        <v>53</v>
      </c>
      <c r="H4571" s="144">
        <f>VLOOKUP(D4571,Bahan,6,FALSE)</f>
        <v>1900</v>
      </c>
      <c r="I4571" s="126">
        <f>G4571*H4571</f>
        <v>100700</v>
      </c>
    </row>
    <row r="4572" spans="2:10" ht="15.95" customHeight="1" x14ac:dyDescent="0.25">
      <c r="C4572" s="122"/>
      <c r="D4572" s="117" t="s">
        <v>380</v>
      </c>
      <c r="E4572" s="118"/>
      <c r="F4572" s="123" t="s">
        <v>159</v>
      </c>
      <c r="G4572" s="124">
        <v>9.3000000000000007</v>
      </c>
      <c r="H4572" s="144">
        <f>VLOOKUP(D4572,Bahan,6,FALSE)</f>
        <v>1880</v>
      </c>
      <c r="I4572" s="126">
        <f>G4572*H4572</f>
        <v>17484</v>
      </c>
    </row>
    <row r="4573" spans="2:10" ht="15.95" customHeight="1" x14ac:dyDescent="0.25">
      <c r="C4573" s="122"/>
      <c r="D4573" s="117" t="s">
        <v>493</v>
      </c>
      <c r="E4573" s="118"/>
      <c r="F4573" s="123" t="s">
        <v>489</v>
      </c>
      <c r="G4573" s="124">
        <v>1.7999999999999999E-2</v>
      </c>
      <c r="H4573" s="144">
        <f>VLOOKUP(D4573,Bahan,6,FALSE)</f>
        <v>253510</v>
      </c>
      <c r="I4573" s="126">
        <f>G4573*H4573</f>
        <v>4563.1799999999994</v>
      </c>
    </row>
    <row r="4574" spans="2:10" ht="15.95" customHeight="1" thickBot="1" x14ac:dyDescent="0.3">
      <c r="C4574" s="122"/>
      <c r="D4574" s="117" t="s">
        <v>960</v>
      </c>
      <c r="E4574" s="118"/>
      <c r="F4574" s="123" t="s">
        <v>159</v>
      </c>
      <c r="G4574" s="124">
        <v>2.75</v>
      </c>
      <c r="H4574" s="144">
        <f>VLOOKUP(D4574,Bahan,6,FALSE)</f>
        <v>2460</v>
      </c>
      <c r="I4574" s="126">
        <f>G4574*H4574</f>
        <v>6765</v>
      </c>
    </row>
    <row r="4575" spans="2:10" ht="15.95" customHeight="1" thickBot="1" x14ac:dyDescent="0.3">
      <c r="C4575" s="132"/>
      <c r="D4575" s="133"/>
      <c r="E4575" s="134"/>
      <c r="F4575" s="134"/>
      <c r="G4575" s="135" t="s">
        <v>386</v>
      </c>
      <c r="H4575" s="136"/>
      <c r="I4575" s="137">
        <f>SUM(I4571:I4574)</f>
        <v>129512.18</v>
      </c>
    </row>
    <row r="4576" spans="2:10" ht="15.95" customHeight="1" thickBot="1" x14ac:dyDescent="0.3">
      <c r="C4576" s="116" t="s">
        <v>387</v>
      </c>
      <c r="D4576" s="117" t="s">
        <v>388</v>
      </c>
      <c r="E4576" s="118"/>
      <c r="F4576" s="118"/>
      <c r="G4576" s="165"/>
      <c r="H4576" s="144">
        <f>IF(AND(D4576&lt;&gt;"",F4576&lt;&gt;""),IF(C4576="",IF(F4576="OH",VLOOKUP(D4576,[1]UPAH!$B$3:$G$32,7,0),VLOOKUP(D4576,[1]BAHAN!$A$2:$D$3,4,0)),0),0)</f>
        <v>0</v>
      </c>
      <c r="I4576" s="126">
        <f>G4576*H4576</f>
        <v>0</v>
      </c>
    </row>
    <row r="4577" spans="2:10" ht="15.95" customHeight="1" thickBot="1" x14ac:dyDescent="0.3">
      <c r="C4577" s="132"/>
      <c r="D4577" s="133"/>
      <c r="E4577" s="134"/>
      <c r="F4577" s="134"/>
      <c r="G4577" s="135" t="s">
        <v>389</v>
      </c>
      <c r="H4577" s="136"/>
      <c r="I4577" s="137">
        <f>I4576</f>
        <v>0</v>
      </c>
    </row>
    <row r="4578" spans="2:10" ht="15.95" customHeight="1" x14ac:dyDescent="0.25">
      <c r="C4578" s="158" t="s">
        <v>390</v>
      </c>
      <c r="D4578" s="159" t="s">
        <v>391</v>
      </c>
      <c r="E4578" s="160"/>
      <c r="F4578" s="160"/>
      <c r="G4578" s="161"/>
      <c r="H4578" s="162">
        <f>IF(AND(D4578&lt;&gt;"",F4578&lt;&gt;""),IF(C4578="",IF(F4578="OH",VLOOKUP(D4578,[1]UPAH!$B$3:$G$32,7,0),VLOOKUP(D4578,[1]BAHAN!$A$2:$D$3,4,0)),0),0)</f>
        <v>0</v>
      </c>
      <c r="I4578" s="126">
        <f>SUM(I4564:I4577)/2</f>
        <v>324587.18</v>
      </c>
    </row>
    <row r="4579" spans="2:10" ht="15.95" customHeight="1" thickBot="1" x14ac:dyDescent="0.3">
      <c r="C4579" s="147" t="s">
        <v>392</v>
      </c>
      <c r="D4579" s="148" t="s">
        <v>393</v>
      </c>
      <c r="E4579" s="149"/>
      <c r="F4579" s="149"/>
      <c r="G4579" s="164">
        <v>0.1</v>
      </c>
      <c r="H4579" s="151"/>
      <c r="I4579" s="146">
        <f>G4579*I4578</f>
        <v>32458.718000000001</v>
      </c>
    </row>
    <row r="4580" spans="2:10" ht="15.95" customHeight="1" thickBot="1" x14ac:dyDescent="0.3">
      <c r="C4580" s="111" t="s">
        <v>394</v>
      </c>
      <c r="D4580" s="112" t="s">
        <v>395</v>
      </c>
      <c r="E4580" s="134"/>
      <c r="F4580" s="134"/>
      <c r="G4580" s="156"/>
      <c r="H4580" s="136">
        <f>IF(AND(D4580&lt;&gt;"",F4580&lt;&gt;""),IF(C4580="",IF(F4580="OH",VLOOKUP(D4580,[1]UPAH!$B$3:$G$32,7,0),VLOOKUP(D4580,[1]BAHAN!$A$2:$D$3,4,0)),0),0)</f>
        <v>0</v>
      </c>
      <c r="I4580" s="137">
        <f>ROUNDDOWN(I4578+I4579,0)</f>
        <v>357045</v>
      </c>
    </row>
    <row r="4581" spans="2:10" ht="15.95" customHeight="1" x14ac:dyDescent="0.25">
      <c r="C4581" s="109"/>
      <c r="D4581" s="109"/>
      <c r="G4581" s="157"/>
    </row>
    <row r="4582" spans="2:10" ht="15.95" customHeight="1" thickBot="1" x14ac:dyDescent="0.3">
      <c r="B4582" s="109" t="s">
        <v>1104</v>
      </c>
      <c r="C4582" s="104" t="s">
        <v>1105</v>
      </c>
      <c r="G4582" s="157"/>
      <c r="J4582" s="110">
        <f>I4600</f>
        <v>503201</v>
      </c>
    </row>
    <row r="4583" spans="2:10" ht="15.95" customHeight="1" thickBot="1" x14ac:dyDescent="0.3">
      <c r="C4583" s="111" t="s">
        <v>328</v>
      </c>
      <c r="D4583" s="112" t="s">
        <v>359</v>
      </c>
      <c r="E4583" s="113" t="s">
        <v>360</v>
      </c>
      <c r="F4583" s="113" t="s">
        <v>330</v>
      </c>
      <c r="G4583" s="114" t="s">
        <v>361</v>
      </c>
      <c r="H4583" s="112" t="s">
        <v>362</v>
      </c>
      <c r="I4583" s="115" t="s">
        <v>363</v>
      </c>
    </row>
    <row r="4584" spans="2:10" ht="15.95" customHeight="1" x14ac:dyDescent="0.25">
      <c r="C4584" s="116" t="s">
        <v>364</v>
      </c>
      <c r="D4584" s="117" t="s">
        <v>365</v>
      </c>
      <c r="E4584" s="118"/>
      <c r="F4584" s="118"/>
      <c r="G4584" s="165"/>
      <c r="H4584" s="144"/>
      <c r="I4584" s="126"/>
    </row>
    <row r="4585" spans="2:10" ht="15.95" customHeight="1" x14ac:dyDescent="0.25">
      <c r="C4585" s="122"/>
      <c r="D4585" s="117" t="s">
        <v>366</v>
      </c>
      <c r="E4585" s="123" t="s">
        <v>367</v>
      </c>
      <c r="F4585" s="123" t="s">
        <v>368</v>
      </c>
      <c r="G4585" s="124">
        <v>0.9</v>
      </c>
      <c r="H4585" s="125">
        <f>VLOOKUP(D4585,Upah,8,FALSE)</f>
        <v>125000</v>
      </c>
      <c r="I4585" s="126">
        <f>G4585*H4585</f>
        <v>112500</v>
      </c>
    </row>
    <row r="4586" spans="2:10" ht="15.95" customHeight="1" x14ac:dyDescent="0.25">
      <c r="C4586" s="122"/>
      <c r="D4586" s="117" t="s">
        <v>505</v>
      </c>
      <c r="E4586" s="123" t="s">
        <v>414</v>
      </c>
      <c r="F4586" s="123" t="s">
        <v>368</v>
      </c>
      <c r="G4586" s="124">
        <v>0.45</v>
      </c>
      <c r="H4586" s="125">
        <f>VLOOKUP(D4586,Upah,8,FALSE)</f>
        <v>150000</v>
      </c>
      <c r="I4586" s="126">
        <f>G4586*H4586</f>
        <v>67500</v>
      </c>
    </row>
    <row r="4587" spans="2:10" ht="15.95" customHeight="1" x14ac:dyDescent="0.25">
      <c r="C4587" s="122"/>
      <c r="D4587" s="117" t="s">
        <v>429</v>
      </c>
      <c r="E4587" s="123" t="s">
        <v>372</v>
      </c>
      <c r="F4587" s="123" t="s">
        <v>368</v>
      </c>
      <c r="G4587" s="124">
        <v>4.4999999999999998E-2</v>
      </c>
      <c r="H4587" s="125">
        <f>VLOOKUP(D4587,Upah,8,FALSE)</f>
        <v>165000</v>
      </c>
      <c r="I4587" s="126">
        <f>G4587*H4587</f>
        <v>7425</v>
      </c>
    </row>
    <row r="4588" spans="2:10" ht="15.95" customHeight="1" thickBot="1" x14ac:dyDescent="0.3">
      <c r="C4588" s="122"/>
      <c r="D4588" s="117" t="s">
        <v>373</v>
      </c>
      <c r="E4588" s="123" t="s">
        <v>374</v>
      </c>
      <c r="F4588" s="123" t="s">
        <v>368</v>
      </c>
      <c r="G4588" s="124">
        <v>4.4999999999999998E-2</v>
      </c>
      <c r="H4588" s="125">
        <f>VLOOKUP(D4588,Upah,8,FALSE)</f>
        <v>170000</v>
      </c>
      <c r="I4588" s="126">
        <f>G4588*H4588</f>
        <v>7650</v>
      </c>
    </row>
    <row r="4589" spans="2:10" ht="15.95" customHeight="1" thickBot="1" x14ac:dyDescent="0.3">
      <c r="C4589" s="132"/>
      <c r="D4589" s="133"/>
      <c r="E4589" s="134"/>
      <c r="F4589" s="134"/>
      <c r="G4589" s="135" t="s">
        <v>375</v>
      </c>
      <c r="H4589" s="136"/>
      <c r="I4589" s="137">
        <f>SUM(I4585:I4588)</f>
        <v>195075</v>
      </c>
    </row>
    <row r="4590" spans="2:10" ht="15.95" customHeight="1" x14ac:dyDescent="0.25">
      <c r="C4590" s="116" t="s">
        <v>376</v>
      </c>
      <c r="D4590" s="117" t="s">
        <v>377</v>
      </c>
      <c r="E4590" s="118"/>
      <c r="F4590" s="118"/>
      <c r="G4590" s="165"/>
      <c r="H4590" s="144"/>
      <c r="I4590" s="126"/>
    </row>
    <row r="4591" spans="2:10" ht="15.95" customHeight="1" x14ac:dyDescent="0.25">
      <c r="C4591" s="122"/>
      <c r="D4591" s="117" t="s">
        <v>1106</v>
      </c>
      <c r="E4591" s="118"/>
      <c r="F4591" s="123" t="s">
        <v>418</v>
      </c>
      <c r="G4591" s="124">
        <v>106</v>
      </c>
      <c r="H4591" s="144">
        <f>VLOOKUP(D4591,Bahan,6,FALSE)</f>
        <v>2200</v>
      </c>
      <c r="I4591" s="126">
        <f>G4591*H4591</f>
        <v>233200</v>
      </c>
    </row>
    <row r="4592" spans="2:10" ht="15.95" customHeight="1" x14ac:dyDescent="0.25">
      <c r="C4592" s="122"/>
      <c r="D4592" s="117" t="s">
        <v>380</v>
      </c>
      <c r="E4592" s="118"/>
      <c r="F4592" s="123" t="s">
        <v>159</v>
      </c>
      <c r="G4592" s="124">
        <v>9.3000000000000007</v>
      </c>
      <c r="H4592" s="144">
        <f>VLOOKUP(D4592,Bahan,6,FALSE)</f>
        <v>1880</v>
      </c>
      <c r="I4592" s="126">
        <f>G4592*H4592</f>
        <v>17484</v>
      </c>
    </row>
    <row r="4593" spans="2:10" ht="15.95" customHeight="1" x14ac:dyDescent="0.25">
      <c r="C4593" s="122"/>
      <c r="D4593" s="117" t="s">
        <v>493</v>
      </c>
      <c r="E4593" s="118"/>
      <c r="F4593" s="123" t="s">
        <v>489</v>
      </c>
      <c r="G4593" s="124">
        <v>1.7999999999999999E-2</v>
      </c>
      <c r="H4593" s="144">
        <f>VLOOKUP(D4593,Bahan,6,FALSE)</f>
        <v>253510</v>
      </c>
      <c r="I4593" s="126">
        <f>G4593*H4593</f>
        <v>4563.1799999999994</v>
      </c>
    </row>
    <row r="4594" spans="2:10" ht="15.95" customHeight="1" thickBot="1" x14ac:dyDescent="0.3">
      <c r="C4594" s="122"/>
      <c r="D4594" s="117" t="s">
        <v>960</v>
      </c>
      <c r="E4594" s="118"/>
      <c r="F4594" s="123" t="s">
        <v>159</v>
      </c>
      <c r="G4594" s="124">
        <v>2.9</v>
      </c>
      <c r="H4594" s="144">
        <f>VLOOKUP(D4594,Bahan,6,FALSE)</f>
        <v>2460</v>
      </c>
      <c r="I4594" s="126">
        <f>G4594*H4594</f>
        <v>7134</v>
      </c>
    </row>
    <row r="4595" spans="2:10" ht="15.95" customHeight="1" thickBot="1" x14ac:dyDescent="0.3">
      <c r="C4595" s="132"/>
      <c r="D4595" s="133"/>
      <c r="E4595" s="134"/>
      <c r="F4595" s="134"/>
      <c r="G4595" s="135" t="s">
        <v>386</v>
      </c>
      <c r="H4595" s="136"/>
      <c r="I4595" s="137">
        <f>SUM(I4591:I4594)</f>
        <v>262381.18</v>
      </c>
    </row>
    <row r="4596" spans="2:10" ht="15.95" customHeight="1" thickBot="1" x14ac:dyDescent="0.3">
      <c r="C4596" s="116" t="s">
        <v>387</v>
      </c>
      <c r="D4596" s="117" t="s">
        <v>388</v>
      </c>
      <c r="E4596" s="118"/>
      <c r="F4596" s="118"/>
      <c r="G4596" s="165"/>
      <c r="H4596" s="144">
        <f>IF(AND(D4596&lt;&gt;"",F4596&lt;&gt;""),IF(C4596="",IF(F4596="OH",VLOOKUP(D4596,[1]UPAH!$B$3:$G$32,7,0),VLOOKUP(D4596,[1]BAHAN!$A$2:$D$3,4,0)),0),0)</f>
        <v>0</v>
      </c>
      <c r="I4596" s="126">
        <f>G4596*H4596</f>
        <v>0</v>
      </c>
    </row>
    <row r="4597" spans="2:10" ht="15.95" customHeight="1" thickBot="1" x14ac:dyDescent="0.3">
      <c r="C4597" s="132"/>
      <c r="D4597" s="133"/>
      <c r="E4597" s="134"/>
      <c r="F4597" s="134"/>
      <c r="G4597" s="135" t="s">
        <v>389</v>
      </c>
      <c r="H4597" s="136"/>
      <c r="I4597" s="137">
        <f>I4596</f>
        <v>0</v>
      </c>
    </row>
    <row r="4598" spans="2:10" ht="15.95" customHeight="1" x14ac:dyDescent="0.25">
      <c r="C4598" s="158" t="s">
        <v>390</v>
      </c>
      <c r="D4598" s="159" t="s">
        <v>391</v>
      </c>
      <c r="E4598" s="160"/>
      <c r="F4598" s="160"/>
      <c r="G4598" s="161"/>
      <c r="H4598" s="162">
        <f>IF(AND(D4598&lt;&gt;"",F4598&lt;&gt;""),IF(C4598="",IF(F4598="OH",VLOOKUP(D4598,[1]UPAH!$B$3:$G$32,7,0),VLOOKUP(D4598,[1]BAHAN!$A$2:$D$3,4,0)),0),0)</f>
        <v>0</v>
      </c>
      <c r="I4598" s="126">
        <f>SUM(I4585:I4597)/2</f>
        <v>457456.18000000005</v>
      </c>
    </row>
    <row r="4599" spans="2:10" ht="15.95" customHeight="1" thickBot="1" x14ac:dyDescent="0.3">
      <c r="C4599" s="147" t="s">
        <v>392</v>
      </c>
      <c r="D4599" s="148" t="s">
        <v>393</v>
      </c>
      <c r="E4599" s="149"/>
      <c r="F4599" s="149"/>
      <c r="G4599" s="164">
        <v>0.1</v>
      </c>
      <c r="H4599" s="151"/>
      <c r="I4599" s="146">
        <f>G4599*I4598</f>
        <v>45745.618000000009</v>
      </c>
    </row>
    <row r="4600" spans="2:10" ht="15.95" customHeight="1" thickBot="1" x14ac:dyDescent="0.3">
      <c r="C4600" s="111" t="s">
        <v>394</v>
      </c>
      <c r="D4600" s="112" t="s">
        <v>395</v>
      </c>
      <c r="E4600" s="134"/>
      <c r="F4600" s="134"/>
      <c r="G4600" s="156"/>
      <c r="H4600" s="136">
        <f>IF(AND(D4600&lt;&gt;"",F4600&lt;&gt;""),IF(C4600="",IF(F4600="OH",VLOOKUP(D4600,[1]UPAH!$B$3:$G$32,7,0),VLOOKUP(D4600,[1]BAHAN!$A$2:$D$3,4,0)),0),0)</f>
        <v>0</v>
      </c>
      <c r="I4600" s="137">
        <f>ROUNDDOWN(I4598+I4599,0)</f>
        <v>503201</v>
      </c>
    </row>
    <row r="4601" spans="2:10" ht="15.95" customHeight="1" x14ac:dyDescent="0.25">
      <c r="C4601" s="109"/>
      <c r="D4601" s="109"/>
      <c r="G4601" s="157"/>
    </row>
    <row r="4602" spans="2:10" ht="15.95" customHeight="1" thickBot="1" x14ac:dyDescent="0.3">
      <c r="B4602" s="109" t="s">
        <v>1107</v>
      </c>
      <c r="C4602" s="104" t="s">
        <v>1108</v>
      </c>
      <c r="G4602" s="234"/>
      <c r="J4602" s="110">
        <f>I4620</f>
        <v>374535</v>
      </c>
    </row>
    <row r="4603" spans="2:10" ht="15.95" customHeight="1" thickBot="1" x14ac:dyDescent="0.3">
      <c r="C4603" s="111" t="s">
        <v>328</v>
      </c>
      <c r="D4603" s="112" t="s">
        <v>359</v>
      </c>
      <c r="E4603" s="113" t="s">
        <v>360</v>
      </c>
      <c r="F4603" s="113" t="s">
        <v>330</v>
      </c>
      <c r="G4603" s="114" t="s">
        <v>361</v>
      </c>
      <c r="H4603" s="112" t="s">
        <v>362</v>
      </c>
      <c r="I4603" s="115" t="s">
        <v>363</v>
      </c>
    </row>
    <row r="4604" spans="2:10" ht="15.95" customHeight="1" x14ac:dyDescent="0.25">
      <c r="C4604" s="116" t="s">
        <v>364</v>
      </c>
      <c r="D4604" s="117" t="s">
        <v>365</v>
      </c>
      <c r="E4604" s="118"/>
      <c r="F4604" s="118"/>
      <c r="G4604" s="165"/>
      <c r="H4604" s="144"/>
      <c r="I4604" s="126"/>
    </row>
    <row r="4605" spans="2:10" ht="15.95" customHeight="1" x14ac:dyDescent="0.25">
      <c r="C4605" s="122"/>
      <c r="D4605" s="117" t="s">
        <v>366</v>
      </c>
      <c r="E4605" s="123" t="s">
        <v>367</v>
      </c>
      <c r="F4605" s="123" t="s">
        <v>368</v>
      </c>
      <c r="G4605" s="124">
        <v>0.9</v>
      </c>
      <c r="H4605" s="125">
        <f>VLOOKUP(D4605,Upah,8,FALSE)</f>
        <v>125000</v>
      </c>
      <c r="I4605" s="126">
        <f>G4605*H4605</f>
        <v>112500</v>
      </c>
    </row>
    <row r="4606" spans="2:10" ht="15.95" customHeight="1" x14ac:dyDescent="0.25">
      <c r="C4606" s="122"/>
      <c r="D4606" s="117" t="s">
        <v>505</v>
      </c>
      <c r="E4606" s="123" t="s">
        <v>414</v>
      </c>
      <c r="F4606" s="123" t="s">
        <v>368</v>
      </c>
      <c r="G4606" s="124">
        <v>0.45</v>
      </c>
      <c r="H4606" s="125">
        <f>VLOOKUP(D4606,Upah,8,FALSE)</f>
        <v>150000</v>
      </c>
      <c r="I4606" s="126">
        <f>G4606*H4606</f>
        <v>67500</v>
      </c>
    </row>
    <row r="4607" spans="2:10" ht="15.95" customHeight="1" x14ac:dyDescent="0.25">
      <c r="C4607" s="122"/>
      <c r="D4607" s="117" t="s">
        <v>429</v>
      </c>
      <c r="E4607" s="123" t="s">
        <v>372</v>
      </c>
      <c r="F4607" s="123" t="s">
        <v>368</v>
      </c>
      <c r="G4607" s="124">
        <v>4.4999999999999998E-2</v>
      </c>
      <c r="H4607" s="125">
        <f>VLOOKUP(D4607,Upah,8,FALSE)</f>
        <v>165000</v>
      </c>
      <c r="I4607" s="126">
        <f>G4607*H4607</f>
        <v>7425</v>
      </c>
    </row>
    <row r="4608" spans="2:10" ht="15.95" customHeight="1" thickBot="1" x14ac:dyDescent="0.3">
      <c r="C4608" s="122"/>
      <c r="D4608" s="117" t="s">
        <v>373</v>
      </c>
      <c r="E4608" s="123" t="s">
        <v>374</v>
      </c>
      <c r="F4608" s="123" t="s">
        <v>368</v>
      </c>
      <c r="G4608" s="124">
        <v>4.4999999999999998E-2</v>
      </c>
      <c r="H4608" s="125">
        <f>VLOOKUP(D4608,Upah,8,FALSE)</f>
        <v>170000</v>
      </c>
      <c r="I4608" s="126">
        <f>G4608*H4608</f>
        <v>7650</v>
      </c>
    </row>
    <row r="4609" spans="2:10" ht="15.95" customHeight="1" thickBot="1" x14ac:dyDescent="0.3">
      <c r="C4609" s="132"/>
      <c r="D4609" s="133"/>
      <c r="E4609" s="134"/>
      <c r="F4609" s="134"/>
      <c r="G4609" s="135" t="s">
        <v>375</v>
      </c>
      <c r="H4609" s="136"/>
      <c r="I4609" s="137">
        <f>SUM(I4605:I4608)</f>
        <v>195075</v>
      </c>
    </row>
    <row r="4610" spans="2:10" ht="15.95" customHeight="1" x14ac:dyDescent="0.25">
      <c r="C4610" s="116" t="s">
        <v>376</v>
      </c>
      <c r="D4610" s="117" t="s">
        <v>377</v>
      </c>
      <c r="E4610" s="118"/>
      <c r="F4610" s="118"/>
      <c r="G4610" s="165"/>
      <c r="H4610" s="144"/>
      <c r="I4610" s="126"/>
    </row>
    <row r="4611" spans="2:10" ht="15.95" customHeight="1" x14ac:dyDescent="0.25">
      <c r="C4611" s="122"/>
      <c r="D4611" s="117" t="s">
        <v>1109</v>
      </c>
      <c r="E4611" s="118"/>
      <c r="F4611" s="123" t="s">
        <v>418</v>
      </c>
      <c r="G4611" s="124">
        <v>53</v>
      </c>
      <c r="H4611" s="144">
        <f>VLOOKUP(D4611,Bahan,6,FALSE)</f>
        <v>2200</v>
      </c>
      <c r="I4611" s="126">
        <f>G4611*H4611</f>
        <v>116600</v>
      </c>
    </row>
    <row r="4612" spans="2:10" ht="15.95" customHeight="1" x14ac:dyDescent="0.25">
      <c r="C4612" s="122"/>
      <c r="D4612" s="117" t="s">
        <v>380</v>
      </c>
      <c r="E4612" s="118"/>
      <c r="F4612" s="123" t="s">
        <v>159</v>
      </c>
      <c r="G4612" s="124">
        <v>9.3000000000000007</v>
      </c>
      <c r="H4612" s="144">
        <f>VLOOKUP(D4612,Bahan,6,FALSE)</f>
        <v>1880</v>
      </c>
      <c r="I4612" s="126">
        <f>G4612*H4612</f>
        <v>17484</v>
      </c>
    </row>
    <row r="4613" spans="2:10" ht="15.95" customHeight="1" x14ac:dyDescent="0.25">
      <c r="C4613" s="122"/>
      <c r="D4613" s="117" t="s">
        <v>493</v>
      </c>
      <c r="E4613" s="118"/>
      <c r="F4613" s="123" t="s">
        <v>489</v>
      </c>
      <c r="G4613" s="124">
        <v>1.7999999999999999E-2</v>
      </c>
      <c r="H4613" s="144">
        <f>VLOOKUP(D4613,Bahan,6,FALSE)</f>
        <v>253510</v>
      </c>
      <c r="I4613" s="126">
        <f>G4613*H4613</f>
        <v>4563.1799999999994</v>
      </c>
    </row>
    <row r="4614" spans="2:10" ht="15.95" customHeight="1" thickBot="1" x14ac:dyDescent="0.3">
      <c r="C4614" s="122"/>
      <c r="D4614" s="117" t="s">
        <v>960</v>
      </c>
      <c r="E4614" s="118"/>
      <c r="F4614" s="123" t="s">
        <v>159</v>
      </c>
      <c r="G4614" s="124">
        <v>2.75</v>
      </c>
      <c r="H4614" s="144">
        <f>VLOOKUP(D4614,Bahan,6,FALSE)</f>
        <v>2460</v>
      </c>
      <c r="I4614" s="126">
        <f>G4614*H4614</f>
        <v>6765</v>
      </c>
    </row>
    <row r="4615" spans="2:10" ht="15.95" customHeight="1" thickBot="1" x14ac:dyDescent="0.3">
      <c r="C4615" s="132"/>
      <c r="D4615" s="133"/>
      <c r="E4615" s="134"/>
      <c r="F4615" s="134"/>
      <c r="G4615" s="135" t="s">
        <v>386</v>
      </c>
      <c r="H4615" s="136"/>
      <c r="I4615" s="137">
        <f>SUM(I4611:I4614)</f>
        <v>145412.18</v>
      </c>
    </row>
    <row r="4616" spans="2:10" ht="15.95" customHeight="1" thickBot="1" x14ac:dyDescent="0.3">
      <c r="C4616" s="116" t="s">
        <v>387</v>
      </c>
      <c r="D4616" s="117" t="s">
        <v>388</v>
      </c>
      <c r="E4616" s="118"/>
      <c r="F4616" s="118"/>
      <c r="G4616" s="165"/>
      <c r="H4616" s="144">
        <f>IF(AND(D4616&lt;&gt;"",F4616&lt;&gt;""),IF(C4616="",IF(F4616="OH",VLOOKUP(D4616,[1]UPAH!$B$3:$G$32,7,0),VLOOKUP(D4616,[1]BAHAN!$A$2:$D$3,4,0)),0),0)</f>
        <v>0</v>
      </c>
      <c r="I4616" s="126">
        <f>G4616*H4616</f>
        <v>0</v>
      </c>
    </row>
    <row r="4617" spans="2:10" ht="15.95" customHeight="1" thickBot="1" x14ac:dyDescent="0.3">
      <c r="C4617" s="132"/>
      <c r="D4617" s="133"/>
      <c r="E4617" s="134"/>
      <c r="F4617" s="134"/>
      <c r="G4617" s="135" t="s">
        <v>389</v>
      </c>
      <c r="H4617" s="136"/>
      <c r="I4617" s="137">
        <f>I4616</f>
        <v>0</v>
      </c>
    </row>
    <row r="4618" spans="2:10" ht="15.95" customHeight="1" x14ac:dyDescent="0.25">
      <c r="C4618" s="158" t="s">
        <v>390</v>
      </c>
      <c r="D4618" s="159" t="s">
        <v>391</v>
      </c>
      <c r="E4618" s="160"/>
      <c r="F4618" s="160"/>
      <c r="G4618" s="161"/>
      <c r="H4618" s="162">
        <f>IF(AND(D4618&lt;&gt;"",F4618&lt;&gt;""),IF(C4618="",IF(F4618="OH",VLOOKUP(D4618,[1]UPAH!$B$3:$G$32,7,0),VLOOKUP(D4618,[1]BAHAN!$A$2:$D$3,4,0)),0),0)</f>
        <v>0</v>
      </c>
      <c r="I4618" s="126">
        <f>SUM(I4605:I4617)/2</f>
        <v>340487.18000000005</v>
      </c>
    </row>
    <row r="4619" spans="2:10" ht="15.95" customHeight="1" thickBot="1" x14ac:dyDescent="0.3">
      <c r="C4619" s="147" t="s">
        <v>392</v>
      </c>
      <c r="D4619" s="148" t="s">
        <v>393</v>
      </c>
      <c r="E4619" s="149"/>
      <c r="F4619" s="149"/>
      <c r="G4619" s="164">
        <v>0.1</v>
      </c>
      <c r="H4619" s="151"/>
      <c r="I4619" s="146">
        <f>G4619*I4618</f>
        <v>34048.718000000008</v>
      </c>
    </row>
    <row r="4620" spans="2:10" ht="15.95" customHeight="1" thickBot="1" x14ac:dyDescent="0.3">
      <c r="C4620" s="111" t="s">
        <v>394</v>
      </c>
      <c r="D4620" s="112" t="s">
        <v>395</v>
      </c>
      <c r="E4620" s="134"/>
      <c r="F4620" s="134"/>
      <c r="G4620" s="156"/>
      <c r="H4620" s="136">
        <f>IF(AND(D4620&lt;&gt;"",F4620&lt;&gt;""),IF(C4620="",IF(F4620="OH",VLOOKUP(D4620,[1]UPAH!$B$3:$G$32,7,0),VLOOKUP(D4620,[1]BAHAN!$A$2:$D$3,4,0)),0),0)</f>
        <v>0</v>
      </c>
      <c r="I4620" s="137">
        <f>ROUNDDOWN(I4618+I4619,0)</f>
        <v>374535</v>
      </c>
    </row>
    <row r="4621" spans="2:10" ht="15.95" customHeight="1" x14ac:dyDescent="0.25">
      <c r="C4621" s="109"/>
      <c r="D4621" s="109"/>
      <c r="G4621" s="157"/>
    </row>
    <row r="4622" spans="2:10" ht="15.95" customHeight="1" thickBot="1" x14ac:dyDescent="0.3">
      <c r="B4622" s="109" t="s">
        <v>1110</v>
      </c>
      <c r="C4622" s="104" t="s">
        <v>1111</v>
      </c>
      <c r="G4622" s="157"/>
      <c r="J4622" s="110">
        <f>I4640</f>
        <v>366514</v>
      </c>
    </row>
    <row r="4623" spans="2:10" ht="15.95" customHeight="1" thickBot="1" x14ac:dyDescent="0.3">
      <c r="C4623" s="111" t="s">
        <v>328</v>
      </c>
      <c r="D4623" s="112" t="s">
        <v>359</v>
      </c>
      <c r="E4623" s="113" t="s">
        <v>360</v>
      </c>
      <c r="F4623" s="113" t="s">
        <v>330</v>
      </c>
      <c r="G4623" s="114" t="s">
        <v>361</v>
      </c>
      <c r="H4623" s="112" t="s">
        <v>362</v>
      </c>
      <c r="I4623" s="115" t="s">
        <v>363</v>
      </c>
    </row>
    <row r="4624" spans="2:10" ht="15.95" customHeight="1" x14ac:dyDescent="0.25">
      <c r="C4624" s="116" t="s">
        <v>364</v>
      </c>
      <c r="D4624" s="117" t="s">
        <v>365</v>
      </c>
      <c r="E4624" s="118"/>
      <c r="F4624" s="118"/>
      <c r="G4624" s="165"/>
      <c r="H4624" s="144"/>
      <c r="I4624" s="126"/>
    </row>
    <row r="4625" spans="3:9" ht="15.95" customHeight="1" x14ac:dyDescent="0.25">
      <c r="C4625" s="122"/>
      <c r="D4625" s="117" t="s">
        <v>366</v>
      </c>
      <c r="E4625" s="123" t="s">
        <v>367</v>
      </c>
      <c r="F4625" s="123" t="s">
        <v>368</v>
      </c>
      <c r="G4625" s="124">
        <v>0.9</v>
      </c>
      <c r="H4625" s="125">
        <f>VLOOKUP(D4625,Upah,8,FALSE)</f>
        <v>125000</v>
      </c>
      <c r="I4625" s="126">
        <f>G4625*H4625</f>
        <v>112500</v>
      </c>
    </row>
    <row r="4626" spans="3:9" ht="15.95" customHeight="1" x14ac:dyDescent="0.25">
      <c r="C4626" s="122"/>
      <c r="D4626" s="117" t="s">
        <v>505</v>
      </c>
      <c r="E4626" s="123" t="s">
        <v>414</v>
      </c>
      <c r="F4626" s="123" t="s">
        <v>368</v>
      </c>
      <c r="G4626" s="124">
        <v>0.45</v>
      </c>
      <c r="H4626" s="125">
        <f>VLOOKUP(D4626,Upah,8,FALSE)</f>
        <v>150000</v>
      </c>
      <c r="I4626" s="126">
        <f>G4626*H4626</f>
        <v>67500</v>
      </c>
    </row>
    <row r="4627" spans="3:9" ht="15.95" customHeight="1" x14ac:dyDescent="0.25">
      <c r="C4627" s="122"/>
      <c r="D4627" s="117" t="s">
        <v>429</v>
      </c>
      <c r="E4627" s="123" t="s">
        <v>372</v>
      </c>
      <c r="F4627" s="123" t="s">
        <v>368</v>
      </c>
      <c r="G4627" s="124">
        <v>4.4999999999999998E-2</v>
      </c>
      <c r="H4627" s="125">
        <f>VLOOKUP(D4627,Upah,8,FALSE)</f>
        <v>165000</v>
      </c>
      <c r="I4627" s="126">
        <f>G4627*H4627</f>
        <v>7425</v>
      </c>
    </row>
    <row r="4628" spans="3:9" ht="15.95" customHeight="1" thickBot="1" x14ac:dyDescent="0.3">
      <c r="C4628" s="122"/>
      <c r="D4628" s="117" t="s">
        <v>373</v>
      </c>
      <c r="E4628" s="123" t="s">
        <v>374</v>
      </c>
      <c r="F4628" s="123" t="s">
        <v>368</v>
      </c>
      <c r="G4628" s="124">
        <v>4.4999999999999998E-2</v>
      </c>
      <c r="H4628" s="125">
        <f>VLOOKUP(D4628,Upah,8,FALSE)</f>
        <v>170000</v>
      </c>
      <c r="I4628" s="126">
        <f>G4628*H4628</f>
        <v>7650</v>
      </c>
    </row>
    <row r="4629" spans="3:9" ht="15.95" customHeight="1" thickBot="1" x14ac:dyDescent="0.3">
      <c r="C4629" s="132"/>
      <c r="D4629" s="133"/>
      <c r="E4629" s="134"/>
      <c r="F4629" s="134"/>
      <c r="G4629" s="135" t="s">
        <v>375</v>
      </c>
      <c r="H4629" s="136"/>
      <c r="I4629" s="137">
        <f>SUM(I4625:I4628)</f>
        <v>195075</v>
      </c>
    </row>
    <row r="4630" spans="3:9" ht="15.95" customHeight="1" x14ac:dyDescent="0.25">
      <c r="C4630" s="116" t="s">
        <v>376</v>
      </c>
      <c r="D4630" s="117" t="s">
        <v>377</v>
      </c>
      <c r="E4630" s="118"/>
      <c r="F4630" s="118"/>
      <c r="G4630" s="165"/>
      <c r="H4630" s="144"/>
      <c r="I4630" s="126"/>
    </row>
    <row r="4631" spans="3:9" ht="15.95" customHeight="1" x14ac:dyDescent="0.25">
      <c r="C4631" s="122"/>
      <c r="D4631" s="117" t="s">
        <v>1112</v>
      </c>
      <c r="E4631" s="118"/>
      <c r="F4631" s="123" t="s">
        <v>418</v>
      </c>
      <c r="G4631" s="124">
        <v>26.5</v>
      </c>
      <c r="H4631" s="144">
        <f>VLOOKUP(D4631,Bahan,6,FALSE)</f>
        <v>4200</v>
      </c>
      <c r="I4631" s="126">
        <f>G4631*H4631</f>
        <v>111300</v>
      </c>
    </row>
    <row r="4632" spans="3:9" ht="15.95" customHeight="1" x14ac:dyDescent="0.25">
      <c r="C4632" s="122"/>
      <c r="D4632" s="117" t="s">
        <v>380</v>
      </c>
      <c r="E4632" s="118"/>
      <c r="F4632" s="123" t="s">
        <v>159</v>
      </c>
      <c r="G4632" s="124">
        <v>9.3000000000000007</v>
      </c>
      <c r="H4632" s="144">
        <f>VLOOKUP(D4632,Bahan,6,FALSE)</f>
        <v>1880</v>
      </c>
      <c r="I4632" s="126">
        <f>G4632*H4632</f>
        <v>17484</v>
      </c>
    </row>
    <row r="4633" spans="3:9" ht="15.95" customHeight="1" x14ac:dyDescent="0.25">
      <c r="C4633" s="122"/>
      <c r="D4633" s="117" t="s">
        <v>493</v>
      </c>
      <c r="E4633" s="118"/>
      <c r="F4633" s="123" t="s">
        <v>489</v>
      </c>
      <c r="G4633" s="124">
        <v>1.7999999999999999E-2</v>
      </c>
      <c r="H4633" s="144">
        <f>VLOOKUP(D4633,Bahan,6,FALSE)</f>
        <v>253510</v>
      </c>
      <c r="I4633" s="126">
        <f>G4633*H4633</f>
        <v>4563.1799999999994</v>
      </c>
    </row>
    <row r="4634" spans="3:9" ht="15.95" customHeight="1" thickBot="1" x14ac:dyDescent="0.3">
      <c r="C4634" s="122"/>
      <c r="D4634" s="117" t="s">
        <v>960</v>
      </c>
      <c r="E4634" s="118"/>
      <c r="F4634" s="123" t="s">
        <v>159</v>
      </c>
      <c r="G4634" s="124">
        <v>1.94</v>
      </c>
      <c r="H4634" s="144">
        <f>VLOOKUP(D4634,Bahan,6,FALSE)</f>
        <v>2460</v>
      </c>
      <c r="I4634" s="126">
        <f>G4634*H4634</f>
        <v>4772.3999999999996</v>
      </c>
    </row>
    <row r="4635" spans="3:9" ht="15.95" customHeight="1" thickBot="1" x14ac:dyDescent="0.3">
      <c r="C4635" s="132"/>
      <c r="D4635" s="133"/>
      <c r="E4635" s="134"/>
      <c r="F4635" s="134"/>
      <c r="G4635" s="135" t="s">
        <v>386</v>
      </c>
      <c r="H4635" s="136"/>
      <c r="I4635" s="137">
        <f>SUM(I4631:I4634)</f>
        <v>138119.57999999999</v>
      </c>
    </row>
    <row r="4636" spans="3:9" ht="15.95" customHeight="1" thickBot="1" x14ac:dyDescent="0.3">
      <c r="C4636" s="116" t="s">
        <v>387</v>
      </c>
      <c r="D4636" s="117" t="s">
        <v>388</v>
      </c>
      <c r="E4636" s="118"/>
      <c r="F4636" s="118"/>
      <c r="G4636" s="165"/>
      <c r="H4636" s="144">
        <f>IF(AND(D4636&lt;&gt;"",F4636&lt;&gt;""),IF(C4636="",IF(F4636="OH",VLOOKUP(D4636,[1]UPAH!$B$3:$G$32,7,0),VLOOKUP(D4636,[1]BAHAN!$A$2:$D$3,4,0)),0),0)</f>
        <v>0</v>
      </c>
      <c r="I4636" s="126">
        <f>G4636*H4636</f>
        <v>0</v>
      </c>
    </row>
    <row r="4637" spans="3:9" ht="15.95" customHeight="1" thickBot="1" x14ac:dyDescent="0.3">
      <c r="C4637" s="132"/>
      <c r="D4637" s="133"/>
      <c r="E4637" s="134"/>
      <c r="F4637" s="134"/>
      <c r="G4637" s="135" t="s">
        <v>389</v>
      </c>
      <c r="H4637" s="136"/>
      <c r="I4637" s="137">
        <f>I4636</f>
        <v>0</v>
      </c>
    </row>
    <row r="4638" spans="3:9" ht="15.95" customHeight="1" x14ac:dyDescent="0.25">
      <c r="C4638" s="158" t="s">
        <v>390</v>
      </c>
      <c r="D4638" s="159" t="s">
        <v>391</v>
      </c>
      <c r="E4638" s="160"/>
      <c r="F4638" s="160"/>
      <c r="G4638" s="161"/>
      <c r="H4638" s="162">
        <f>IF(AND(D4638&lt;&gt;"",F4638&lt;&gt;""),IF(C4638="",IF(F4638="OH",VLOOKUP(D4638,[1]UPAH!$B$3:$G$32,7,0),VLOOKUP(D4638,[1]BAHAN!$A$2:$D$3,4,0)),0),0)</f>
        <v>0</v>
      </c>
      <c r="I4638" s="126">
        <f>SUM(I4624:I4637)/2</f>
        <v>333194.57999999996</v>
      </c>
    </row>
    <row r="4639" spans="3:9" ht="15.95" customHeight="1" thickBot="1" x14ac:dyDescent="0.3">
      <c r="C4639" s="147" t="s">
        <v>392</v>
      </c>
      <c r="D4639" s="148" t="s">
        <v>393</v>
      </c>
      <c r="E4639" s="149"/>
      <c r="F4639" s="149"/>
      <c r="G4639" s="164">
        <v>0.1</v>
      </c>
      <c r="H4639" s="151"/>
      <c r="I4639" s="146">
        <f>G4639*I4638</f>
        <v>33319.457999999999</v>
      </c>
    </row>
    <row r="4640" spans="3:9" ht="15.95" customHeight="1" thickBot="1" x14ac:dyDescent="0.3">
      <c r="C4640" s="111" t="s">
        <v>394</v>
      </c>
      <c r="D4640" s="112" t="s">
        <v>395</v>
      </c>
      <c r="E4640" s="134"/>
      <c r="F4640" s="134"/>
      <c r="G4640" s="156"/>
      <c r="H4640" s="136">
        <f>IF(AND(D4640&lt;&gt;"",F4640&lt;&gt;""),IF(C4640="",IF(F4640="OH",VLOOKUP(D4640,[1]UPAH!$B$3:$G$32,7,0),VLOOKUP(D4640,[1]BAHAN!$A$2:$D$3,4,0)),0),0)</f>
        <v>0</v>
      </c>
      <c r="I4640" s="137">
        <f>ROUNDDOWN(I4638+I4639,0)</f>
        <v>366514</v>
      </c>
    </row>
    <row r="4641" spans="2:10" ht="15.95" customHeight="1" x14ac:dyDescent="0.25">
      <c r="C4641" s="109"/>
      <c r="D4641" s="109"/>
      <c r="G4641" s="157"/>
    </row>
    <row r="4642" spans="2:10" ht="15.95" customHeight="1" thickBot="1" x14ac:dyDescent="0.3">
      <c r="B4642" s="109" t="s">
        <v>1113</v>
      </c>
      <c r="C4642" s="104" t="s">
        <v>1114</v>
      </c>
      <c r="G4642" s="157"/>
      <c r="J4642" s="110">
        <f>I4661</f>
        <v>605666</v>
      </c>
    </row>
    <row r="4643" spans="2:10" ht="15.95" customHeight="1" thickBot="1" x14ac:dyDescent="0.3">
      <c r="C4643" s="111" t="s">
        <v>328</v>
      </c>
      <c r="D4643" s="112" t="s">
        <v>359</v>
      </c>
      <c r="E4643" s="113" t="s">
        <v>360</v>
      </c>
      <c r="F4643" s="113" t="s">
        <v>330</v>
      </c>
      <c r="G4643" s="114" t="s">
        <v>361</v>
      </c>
      <c r="H4643" s="112" t="s">
        <v>362</v>
      </c>
      <c r="I4643" s="115" t="s">
        <v>363</v>
      </c>
    </row>
    <row r="4644" spans="2:10" ht="15.95" customHeight="1" x14ac:dyDescent="0.25">
      <c r="C4644" s="116" t="s">
        <v>364</v>
      </c>
      <c r="D4644" s="117" t="s">
        <v>365</v>
      </c>
      <c r="E4644" s="118"/>
      <c r="F4644" s="118"/>
      <c r="G4644" s="165"/>
      <c r="H4644" s="144"/>
      <c r="I4644" s="126"/>
    </row>
    <row r="4645" spans="2:10" ht="15.95" customHeight="1" x14ac:dyDescent="0.25">
      <c r="C4645" s="122"/>
      <c r="D4645" s="117" t="s">
        <v>366</v>
      </c>
      <c r="E4645" s="123" t="s">
        <v>367</v>
      </c>
      <c r="F4645" s="123" t="s">
        <v>368</v>
      </c>
      <c r="G4645" s="124">
        <v>1.3</v>
      </c>
      <c r="H4645" s="125">
        <f>VLOOKUP(D4645,Upah,8,FALSE)</f>
        <v>125000</v>
      </c>
      <c r="I4645" s="126">
        <f>G4645*H4645</f>
        <v>162500</v>
      </c>
    </row>
    <row r="4646" spans="2:10" ht="15.95" customHeight="1" x14ac:dyDescent="0.25">
      <c r="C4646" s="122"/>
      <c r="D4646" s="117" t="s">
        <v>505</v>
      </c>
      <c r="E4646" s="123" t="s">
        <v>414</v>
      </c>
      <c r="F4646" s="123" t="s">
        <v>368</v>
      </c>
      <c r="G4646" s="124">
        <v>0.65</v>
      </c>
      <c r="H4646" s="125">
        <f>VLOOKUP(D4646,Upah,8,FALSE)</f>
        <v>150000</v>
      </c>
      <c r="I4646" s="126">
        <f>G4646*H4646</f>
        <v>97500</v>
      </c>
    </row>
    <row r="4647" spans="2:10" ht="15.95" customHeight="1" x14ac:dyDescent="0.25">
      <c r="C4647" s="122"/>
      <c r="D4647" s="117" t="s">
        <v>429</v>
      </c>
      <c r="E4647" s="123" t="s">
        <v>372</v>
      </c>
      <c r="F4647" s="123" t="s">
        <v>368</v>
      </c>
      <c r="G4647" s="124">
        <v>6.5000000000000002E-2</v>
      </c>
      <c r="H4647" s="125">
        <f>VLOOKUP(D4647,Upah,8,FALSE)</f>
        <v>165000</v>
      </c>
      <c r="I4647" s="126">
        <f>G4647*H4647</f>
        <v>10725</v>
      </c>
    </row>
    <row r="4648" spans="2:10" ht="15.95" customHeight="1" thickBot="1" x14ac:dyDescent="0.3">
      <c r="C4648" s="122"/>
      <c r="D4648" s="117" t="s">
        <v>373</v>
      </c>
      <c r="E4648" s="123" t="s">
        <v>374</v>
      </c>
      <c r="F4648" s="123" t="s">
        <v>368</v>
      </c>
      <c r="G4648" s="124">
        <v>6.5000000000000002E-2</v>
      </c>
      <c r="H4648" s="125">
        <f>VLOOKUP(D4648,Upah,8,FALSE)</f>
        <v>170000</v>
      </c>
      <c r="I4648" s="126">
        <f>G4648*H4648</f>
        <v>11050</v>
      </c>
    </row>
    <row r="4649" spans="2:10" ht="15.95" customHeight="1" thickBot="1" x14ac:dyDescent="0.3">
      <c r="C4649" s="132"/>
      <c r="D4649" s="133"/>
      <c r="E4649" s="134"/>
      <c r="F4649" s="134"/>
      <c r="G4649" s="135" t="s">
        <v>375</v>
      </c>
      <c r="H4649" s="136"/>
      <c r="I4649" s="137">
        <f>SUM(I4645:I4648)</f>
        <v>281775</v>
      </c>
    </row>
    <row r="4650" spans="2:10" ht="15.95" customHeight="1" x14ac:dyDescent="0.25">
      <c r="C4650" s="116" t="s">
        <v>376</v>
      </c>
      <c r="D4650" s="117" t="s">
        <v>377</v>
      </c>
      <c r="E4650" s="118"/>
      <c r="F4650" s="118"/>
      <c r="G4650" s="165"/>
      <c r="H4650" s="144"/>
      <c r="I4650" s="126"/>
    </row>
    <row r="4651" spans="2:10" ht="15.95" customHeight="1" x14ac:dyDescent="0.25">
      <c r="C4651" s="122"/>
      <c r="D4651" s="117" t="s">
        <v>1115</v>
      </c>
      <c r="E4651" s="118"/>
      <c r="F4651" s="123" t="s">
        <v>418</v>
      </c>
      <c r="G4651" s="124">
        <v>1.06</v>
      </c>
      <c r="H4651" s="144">
        <f>VLOOKUP(D4651,Bahan,6,FALSE)</f>
        <v>69020</v>
      </c>
      <c r="I4651" s="126">
        <f>G4651*H4651</f>
        <v>73161.2</v>
      </c>
    </row>
    <row r="4652" spans="2:10" ht="15.95" customHeight="1" x14ac:dyDescent="0.25">
      <c r="C4652" s="122"/>
      <c r="D4652" s="117" t="s">
        <v>380</v>
      </c>
      <c r="E4652" s="118"/>
      <c r="F4652" s="123" t="s">
        <v>159</v>
      </c>
      <c r="G4652" s="124">
        <v>12.44</v>
      </c>
      <c r="H4652" s="144">
        <f>VLOOKUP(D4652,Bahan,6,FALSE)</f>
        <v>1880</v>
      </c>
      <c r="I4652" s="126">
        <f>G4652*H4652</f>
        <v>23387.200000000001</v>
      </c>
    </row>
    <row r="4653" spans="2:10" ht="15.95" customHeight="1" x14ac:dyDescent="0.25">
      <c r="C4653" s="122"/>
      <c r="D4653" s="117" t="s">
        <v>380</v>
      </c>
      <c r="E4653" s="118"/>
      <c r="F4653" s="123" t="s">
        <v>489</v>
      </c>
      <c r="G4653" s="124">
        <v>2.5000000000000001E-2</v>
      </c>
      <c r="H4653" s="144">
        <f>VLOOKUP(D4653,Bahan,6,FALSE)</f>
        <v>1880</v>
      </c>
      <c r="I4653" s="126">
        <f>G4653*H4653</f>
        <v>47</v>
      </c>
    </row>
    <row r="4654" spans="2:10" ht="15.95" customHeight="1" x14ac:dyDescent="0.25">
      <c r="C4654" s="122"/>
      <c r="D4654" s="117" t="s">
        <v>493</v>
      </c>
      <c r="E4654" s="118"/>
      <c r="F4654" s="123" t="s">
        <v>159</v>
      </c>
      <c r="G4654" s="124">
        <v>0.65</v>
      </c>
      <c r="H4654" s="144">
        <f>VLOOKUP(D4654,Bahan,6,FALSE)</f>
        <v>253510</v>
      </c>
      <c r="I4654" s="126">
        <f>G4654*H4654</f>
        <v>164781.5</v>
      </c>
    </row>
    <row r="4655" spans="2:10" ht="15.95" customHeight="1" thickBot="1" x14ac:dyDescent="0.3">
      <c r="C4655" s="122"/>
      <c r="D4655" s="117" t="s">
        <v>960</v>
      </c>
      <c r="E4655" s="118"/>
      <c r="F4655" s="123" t="s">
        <v>418</v>
      </c>
      <c r="G4655" s="124">
        <v>3.03</v>
      </c>
      <c r="H4655" s="144">
        <f>VLOOKUP(D4655,Bahan,6,FALSE)</f>
        <v>2460</v>
      </c>
      <c r="I4655" s="126">
        <f>G4655*H4655</f>
        <v>7453.7999999999993</v>
      </c>
    </row>
    <row r="4656" spans="2:10" ht="15.95" customHeight="1" thickBot="1" x14ac:dyDescent="0.3">
      <c r="C4656" s="132"/>
      <c r="D4656" s="133"/>
      <c r="E4656" s="134"/>
      <c r="F4656" s="134"/>
      <c r="G4656" s="135" t="s">
        <v>386</v>
      </c>
      <c r="H4656" s="136"/>
      <c r="I4656" s="137">
        <f>SUM(I4651:I4655)</f>
        <v>268830.7</v>
      </c>
    </row>
    <row r="4657" spans="2:10" ht="15.95" customHeight="1" thickBot="1" x14ac:dyDescent="0.3">
      <c r="C4657" s="116" t="s">
        <v>387</v>
      </c>
      <c r="D4657" s="117" t="s">
        <v>388</v>
      </c>
      <c r="E4657" s="118"/>
      <c r="F4657" s="118"/>
      <c r="G4657" s="165"/>
      <c r="H4657" s="144">
        <f>IF(AND(D4657&lt;&gt;"",F4657&lt;&gt;""),IF(C4657="",IF(F4657="OH",VLOOKUP(D4657,[1]UPAH!$B$3:$G$32,7,0),VLOOKUP(D4657,[1]BAHAN!$A$2:$D$3,4,0)),0),0)</f>
        <v>0</v>
      </c>
      <c r="I4657" s="126">
        <f>G4657*H4657</f>
        <v>0</v>
      </c>
    </row>
    <row r="4658" spans="2:10" ht="15.95" customHeight="1" thickBot="1" x14ac:dyDescent="0.3">
      <c r="C4658" s="132"/>
      <c r="D4658" s="133"/>
      <c r="E4658" s="134"/>
      <c r="F4658" s="134"/>
      <c r="G4658" s="135" t="s">
        <v>389</v>
      </c>
      <c r="H4658" s="136"/>
      <c r="I4658" s="137">
        <f>I4657</f>
        <v>0</v>
      </c>
    </row>
    <row r="4659" spans="2:10" ht="15.95" customHeight="1" x14ac:dyDescent="0.25">
      <c r="C4659" s="158" t="s">
        <v>390</v>
      </c>
      <c r="D4659" s="159" t="s">
        <v>391</v>
      </c>
      <c r="E4659" s="160"/>
      <c r="F4659" s="160"/>
      <c r="G4659" s="161"/>
      <c r="H4659" s="162">
        <f>IF(AND(D4659&lt;&gt;"",F4659&lt;&gt;""),IF(C4659="",IF(F4659="OH",VLOOKUP(D4659,[1]UPAH!$B$3:$G$32,7,0),VLOOKUP(D4659,[1]BAHAN!$A$2:$D$3,4,0)),0),0)</f>
        <v>0</v>
      </c>
      <c r="I4659" s="126">
        <f>SUM(I4645:I4658)/2</f>
        <v>550605.69999999995</v>
      </c>
    </row>
    <row r="4660" spans="2:10" ht="15.95" customHeight="1" thickBot="1" x14ac:dyDescent="0.3">
      <c r="C4660" s="147" t="s">
        <v>392</v>
      </c>
      <c r="D4660" s="148" t="s">
        <v>393</v>
      </c>
      <c r="E4660" s="149"/>
      <c r="F4660" s="149"/>
      <c r="G4660" s="164">
        <v>0.1</v>
      </c>
      <c r="H4660" s="151"/>
      <c r="I4660" s="146">
        <f>G4660*I4659</f>
        <v>55060.57</v>
      </c>
    </row>
    <row r="4661" spans="2:10" ht="15.95" customHeight="1" thickBot="1" x14ac:dyDescent="0.3">
      <c r="C4661" s="111" t="s">
        <v>394</v>
      </c>
      <c r="D4661" s="112" t="s">
        <v>395</v>
      </c>
      <c r="E4661" s="134"/>
      <c r="F4661" s="134"/>
      <c r="G4661" s="156"/>
      <c r="H4661" s="136">
        <f>IF(AND(D4661&lt;&gt;"",F4661&lt;&gt;""),IF(C4661="",IF(F4661="OH",VLOOKUP(D4661,[1]UPAH!$B$3:$G$32,7,0),VLOOKUP(D4661,[1]BAHAN!$A$2:$D$3,4,0)),0),0)</f>
        <v>0</v>
      </c>
      <c r="I4661" s="137">
        <f>ROUNDDOWN(I4659+I4660,0)</f>
        <v>605666</v>
      </c>
    </row>
    <row r="4662" spans="2:10" ht="15.95" customHeight="1" x14ac:dyDescent="0.25">
      <c r="C4662" s="109"/>
      <c r="D4662" s="109"/>
      <c r="G4662" s="157"/>
    </row>
    <row r="4663" spans="2:10" ht="15.95" customHeight="1" thickBot="1" x14ac:dyDescent="0.3">
      <c r="B4663" s="109" t="s">
        <v>1116</v>
      </c>
      <c r="C4663" s="104" t="s">
        <v>1117</v>
      </c>
      <c r="G4663" s="157"/>
      <c r="J4663" s="110">
        <f>I4681</f>
        <v>336775</v>
      </c>
    </row>
    <row r="4664" spans="2:10" ht="15.95" customHeight="1" thickBot="1" x14ac:dyDescent="0.3">
      <c r="C4664" s="111" t="s">
        <v>328</v>
      </c>
      <c r="D4664" s="112" t="s">
        <v>359</v>
      </c>
      <c r="E4664" s="113" t="s">
        <v>360</v>
      </c>
      <c r="F4664" s="113" t="s">
        <v>330</v>
      </c>
      <c r="G4664" s="114" t="s">
        <v>361</v>
      </c>
      <c r="H4664" s="112" t="s">
        <v>362</v>
      </c>
      <c r="I4664" s="115" t="s">
        <v>363</v>
      </c>
    </row>
    <row r="4665" spans="2:10" ht="15.95" customHeight="1" x14ac:dyDescent="0.25">
      <c r="C4665" s="116" t="s">
        <v>364</v>
      </c>
      <c r="D4665" s="117" t="s">
        <v>365</v>
      </c>
      <c r="E4665" s="118"/>
      <c r="F4665" s="118"/>
      <c r="G4665" s="165"/>
      <c r="H4665" s="144"/>
      <c r="I4665" s="126"/>
    </row>
    <row r="4666" spans="2:10" ht="15.95" customHeight="1" x14ac:dyDescent="0.25">
      <c r="C4666" s="122"/>
      <c r="D4666" s="117" t="s">
        <v>366</v>
      </c>
      <c r="E4666" s="123" t="s">
        <v>367</v>
      </c>
      <c r="F4666" s="123" t="s">
        <v>368</v>
      </c>
      <c r="G4666" s="124">
        <v>1</v>
      </c>
      <c r="H4666" s="125">
        <f>VLOOKUP(D4666,Upah,8,FALSE)</f>
        <v>125000</v>
      </c>
      <c r="I4666" s="126">
        <f>G4666*H4666</f>
        <v>125000</v>
      </c>
    </row>
    <row r="4667" spans="2:10" ht="15.95" customHeight="1" x14ac:dyDescent="0.25">
      <c r="C4667" s="122"/>
      <c r="D4667" s="117" t="s">
        <v>505</v>
      </c>
      <c r="E4667" s="123" t="s">
        <v>414</v>
      </c>
      <c r="F4667" s="123" t="s">
        <v>368</v>
      </c>
      <c r="G4667" s="124">
        <v>0.5</v>
      </c>
      <c r="H4667" s="125">
        <f>VLOOKUP(D4667,Upah,8,FALSE)</f>
        <v>150000</v>
      </c>
      <c r="I4667" s="126">
        <f>G4667*H4667</f>
        <v>75000</v>
      </c>
    </row>
    <row r="4668" spans="2:10" ht="15.95" customHeight="1" x14ac:dyDescent="0.25">
      <c r="C4668" s="122"/>
      <c r="D4668" s="117" t="s">
        <v>429</v>
      </c>
      <c r="E4668" s="123" t="s">
        <v>372</v>
      </c>
      <c r="F4668" s="123" t="s">
        <v>368</v>
      </c>
      <c r="G4668" s="124">
        <v>0.05</v>
      </c>
      <c r="H4668" s="125">
        <f>VLOOKUP(D4668,Upah,8,FALSE)</f>
        <v>165000</v>
      </c>
      <c r="I4668" s="126">
        <f>G4668*H4668</f>
        <v>8250</v>
      </c>
    </row>
    <row r="4669" spans="2:10" ht="15.95" customHeight="1" thickBot="1" x14ac:dyDescent="0.3">
      <c r="C4669" s="122"/>
      <c r="D4669" s="117" t="s">
        <v>373</v>
      </c>
      <c r="E4669" s="123" t="s">
        <v>374</v>
      </c>
      <c r="F4669" s="123" t="s">
        <v>368</v>
      </c>
      <c r="G4669" s="124">
        <v>0.05</v>
      </c>
      <c r="H4669" s="125">
        <f>VLOOKUP(D4669,Upah,8,FALSE)</f>
        <v>170000</v>
      </c>
      <c r="I4669" s="126">
        <f>G4669*H4669</f>
        <v>8500</v>
      </c>
    </row>
    <row r="4670" spans="2:10" ht="15.95" customHeight="1" thickBot="1" x14ac:dyDescent="0.3">
      <c r="C4670" s="132"/>
      <c r="D4670" s="133"/>
      <c r="E4670" s="134"/>
      <c r="F4670" s="134"/>
      <c r="G4670" s="135" t="s">
        <v>375</v>
      </c>
      <c r="H4670" s="136"/>
      <c r="I4670" s="137">
        <f>SUM(I4666:I4669)</f>
        <v>216750</v>
      </c>
    </row>
    <row r="4671" spans="2:10" ht="15.95" customHeight="1" x14ac:dyDescent="0.25">
      <c r="C4671" s="116" t="s">
        <v>376</v>
      </c>
      <c r="D4671" s="117" t="s">
        <v>377</v>
      </c>
      <c r="E4671" s="118"/>
      <c r="F4671" s="118"/>
      <c r="G4671" s="165"/>
      <c r="H4671" s="144"/>
      <c r="I4671" s="126"/>
    </row>
    <row r="4672" spans="2:10" ht="15.95" customHeight="1" x14ac:dyDescent="0.25">
      <c r="C4672" s="122"/>
      <c r="D4672" s="117" t="s">
        <v>1118</v>
      </c>
      <c r="E4672" s="118"/>
      <c r="F4672" s="123" t="s">
        <v>418</v>
      </c>
      <c r="G4672" s="124">
        <v>63</v>
      </c>
      <c r="H4672" s="144">
        <f>VLOOKUP(D4672,Bahan,6,FALSE)</f>
        <v>840</v>
      </c>
      <c r="I4672" s="126">
        <f>G4672*H4672</f>
        <v>52920</v>
      </c>
    </row>
    <row r="4673" spans="2:10" ht="15.95" customHeight="1" x14ac:dyDescent="0.25">
      <c r="C4673" s="122"/>
      <c r="D4673" s="117" t="s">
        <v>380</v>
      </c>
      <c r="E4673" s="118"/>
      <c r="F4673" s="123" t="s">
        <v>159</v>
      </c>
      <c r="G4673" s="124">
        <v>12.44</v>
      </c>
      <c r="H4673" s="144">
        <f>VLOOKUP(D4673,Bahan,6,FALSE)</f>
        <v>1880</v>
      </c>
      <c r="I4673" s="126">
        <f>G4673*H4673</f>
        <v>23387.200000000001</v>
      </c>
    </row>
    <row r="4674" spans="2:10" ht="15.95" customHeight="1" x14ac:dyDescent="0.25">
      <c r="C4674" s="122"/>
      <c r="D4674" s="117" t="s">
        <v>493</v>
      </c>
      <c r="E4674" s="118"/>
      <c r="F4674" s="123" t="s">
        <v>489</v>
      </c>
      <c r="G4674" s="124">
        <v>2.5000000000000001E-2</v>
      </c>
      <c r="H4674" s="144">
        <f>VLOOKUP(D4674,Bahan,6,FALSE)</f>
        <v>253510</v>
      </c>
      <c r="I4674" s="126">
        <f>G4674*H4674</f>
        <v>6337.75</v>
      </c>
    </row>
    <row r="4675" spans="2:10" ht="15.95" customHeight="1" thickBot="1" x14ac:dyDescent="0.3">
      <c r="C4675" s="122"/>
      <c r="D4675" s="117" t="s">
        <v>960</v>
      </c>
      <c r="E4675" s="118"/>
      <c r="F4675" s="123" t="s">
        <v>159</v>
      </c>
      <c r="G4675" s="124">
        <v>2.75</v>
      </c>
      <c r="H4675" s="144">
        <f>VLOOKUP(D4675,Bahan,6,FALSE)</f>
        <v>2460</v>
      </c>
      <c r="I4675" s="126">
        <f>G4675*H4675</f>
        <v>6765</v>
      </c>
    </row>
    <row r="4676" spans="2:10" ht="15.95" customHeight="1" thickBot="1" x14ac:dyDescent="0.3">
      <c r="C4676" s="132"/>
      <c r="D4676" s="133"/>
      <c r="E4676" s="134"/>
      <c r="F4676" s="134"/>
      <c r="G4676" s="135" t="s">
        <v>386</v>
      </c>
      <c r="H4676" s="136"/>
      <c r="I4676" s="137">
        <f>SUM(I4672:I4675)</f>
        <v>89409.95</v>
      </c>
    </row>
    <row r="4677" spans="2:10" ht="15.95" customHeight="1" thickBot="1" x14ac:dyDescent="0.3">
      <c r="C4677" s="116" t="s">
        <v>387</v>
      </c>
      <c r="D4677" s="117" t="s">
        <v>388</v>
      </c>
      <c r="E4677" s="118"/>
      <c r="F4677" s="118"/>
      <c r="G4677" s="165"/>
      <c r="H4677" s="144">
        <f>IF(AND(D4677&lt;&gt;"",F4677&lt;&gt;""),IF(C4677="",IF(F4677="OH",VLOOKUP(D4677,[1]UPAH!$B$3:$G$32,7,0),VLOOKUP(D4677,[1]BAHAN!$A$2:$D$3,4,0)),0),0)</f>
        <v>0</v>
      </c>
      <c r="I4677" s="126">
        <f>G4677*H4677</f>
        <v>0</v>
      </c>
    </row>
    <row r="4678" spans="2:10" ht="15.95" customHeight="1" thickBot="1" x14ac:dyDescent="0.3">
      <c r="C4678" s="132"/>
      <c r="D4678" s="133"/>
      <c r="E4678" s="134"/>
      <c r="F4678" s="134"/>
      <c r="G4678" s="135" t="s">
        <v>389</v>
      </c>
      <c r="H4678" s="136"/>
      <c r="I4678" s="137">
        <f>I4677</f>
        <v>0</v>
      </c>
    </row>
    <row r="4679" spans="2:10" ht="15.95" customHeight="1" x14ac:dyDescent="0.25">
      <c r="C4679" s="158" t="s">
        <v>390</v>
      </c>
      <c r="D4679" s="159" t="s">
        <v>391</v>
      </c>
      <c r="E4679" s="160"/>
      <c r="F4679" s="160"/>
      <c r="G4679" s="161"/>
      <c r="H4679" s="162">
        <f>IF(AND(D4679&lt;&gt;"",F4679&lt;&gt;""),IF(C4679="",IF(F4679="OH",VLOOKUP(D4679,[1]UPAH!$B$3:$G$32,7,0),VLOOKUP(D4679,[1]BAHAN!$A$2:$D$3,4,0)),0),0)</f>
        <v>0</v>
      </c>
      <c r="I4679" s="126">
        <f>SUM(I4666:I4678)/2</f>
        <v>306159.95</v>
      </c>
    </row>
    <row r="4680" spans="2:10" ht="15.95" customHeight="1" thickBot="1" x14ac:dyDescent="0.3">
      <c r="C4680" s="147" t="s">
        <v>392</v>
      </c>
      <c r="D4680" s="148" t="s">
        <v>393</v>
      </c>
      <c r="E4680" s="149"/>
      <c r="F4680" s="149"/>
      <c r="G4680" s="164">
        <v>0.1</v>
      </c>
      <c r="H4680" s="151"/>
      <c r="I4680" s="146">
        <f>G4680*I4679</f>
        <v>30615.995000000003</v>
      </c>
    </row>
    <row r="4681" spans="2:10" ht="15.95" customHeight="1" thickBot="1" x14ac:dyDescent="0.3">
      <c r="C4681" s="111" t="s">
        <v>394</v>
      </c>
      <c r="D4681" s="112" t="s">
        <v>395</v>
      </c>
      <c r="E4681" s="134"/>
      <c r="F4681" s="134"/>
      <c r="G4681" s="156"/>
      <c r="H4681" s="136">
        <f>IF(AND(D4681&lt;&gt;"",F4681&lt;&gt;""),IF(C4681="",IF(F4681="OH",VLOOKUP(D4681,[1]UPAH!$B$3:$G$32,7,0),VLOOKUP(D4681,[1]BAHAN!$A$2:$D$3,4,0)),0),0)</f>
        <v>0</v>
      </c>
      <c r="I4681" s="137">
        <f>ROUNDDOWN(I4679+I4680,0)</f>
        <v>336775</v>
      </c>
    </row>
    <row r="4682" spans="2:10" ht="15.95" customHeight="1" x14ac:dyDescent="0.25">
      <c r="C4682" s="109"/>
      <c r="D4682" s="109"/>
      <c r="G4682" s="157"/>
    </row>
    <row r="4683" spans="2:10" ht="15.95" customHeight="1" thickBot="1" x14ac:dyDescent="0.3">
      <c r="B4683" s="109" t="s">
        <v>1119</v>
      </c>
      <c r="C4683" s="104" t="s">
        <v>1120</v>
      </c>
      <c r="G4683" s="157"/>
      <c r="J4683" s="110">
        <f>I4700</f>
        <v>314212</v>
      </c>
    </row>
    <row r="4684" spans="2:10" ht="15.95" customHeight="1" thickBot="1" x14ac:dyDescent="0.3">
      <c r="C4684" s="111" t="s">
        <v>328</v>
      </c>
      <c r="D4684" s="112" t="s">
        <v>359</v>
      </c>
      <c r="E4684" s="113" t="s">
        <v>360</v>
      </c>
      <c r="F4684" s="113" t="s">
        <v>330</v>
      </c>
      <c r="G4684" s="114" t="s">
        <v>361</v>
      </c>
      <c r="H4684" s="112" t="s">
        <v>362</v>
      </c>
      <c r="I4684" s="115" t="s">
        <v>363</v>
      </c>
    </row>
    <row r="4685" spans="2:10" ht="15.95" customHeight="1" x14ac:dyDescent="0.25">
      <c r="C4685" s="116" t="s">
        <v>364</v>
      </c>
      <c r="D4685" s="117" t="s">
        <v>365</v>
      </c>
      <c r="E4685" s="118"/>
      <c r="F4685" s="118"/>
      <c r="G4685" s="165"/>
      <c r="H4685" s="144"/>
      <c r="I4685" s="126"/>
    </row>
    <row r="4686" spans="2:10" ht="15.95" customHeight="1" x14ac:dyDescent="0.25">
      <c r="C4686" s="122"/>
      <c r="D4686" s="117" t="s">
        <v>366</v>
      </c>
      <c r="E4686" s="123" t="s">
        <v>367</v>
      </c>
      <c r="F4686" s="123" t="s">
        <v>368</v>
      </c>
      <c r="G4686" s="124">
        <v>0.7</v>
      </c>
      <c r="H4686" s="125">
        <f>VLOOKUP(D4686,Upah,8,FALSE)</f>
        <v>125000</v>
      </c>
      <c r="I4686" s="126">
        <f>G4686*H4686</f>
        <v>87500</v>
      </c>
    </row>
    <row r="4687" spans="2:10" ht="15.95" customHeight="1" x14ac:dyDescent="0.25">
      <c r="C4687" s="122"/>
      <c r="D4687" s="117" t="s">
        <v>505</v>
      </c>
      <c r="E4687" s="123" t="s">
        <v>414</v>
      </c>
      <c r="F4687" s="123" t="s">
        <v>368</v>
      </c>
      <c r="G4687" s="124">
        <v>0.35</v>
      </c>
      <c r="H4687" s="125">
        <f>VLOOKUP(D4687,Upah,8,FALSE)</f>
        <v>150000</v>
      </c>
      <c r="I4687" s="126">
        <f>G4687*H4687</f>
        <v>52500</v>
      </c>
    </row>
    <row r="4688" spans="2:10" ht="15.95" customHeight="1" x14ac:dyDescent="0.25">
      <c r="C4688" s="122"/>
      <c r="D4688" s="117" t="s">
        <v>429</v>
      </c>
      <c r="E4688" s="123" t="s">
        <v>372</v>
      </c>
      <c r="F4688" s="123" t="s">
        <v>368</v>
      </c>
      <c r="G4688" s="124">
        <v>3.5000000000000003E-2</v>
      </c>
      <c r="H4688" s="125">
        <f>VLOOKUP(D4688,Upah,8,FALSE)</f>
        <v>165000</v>
      </c>
      <c r="I4688" s="126">
        <f>G4688*H4688</f>
        <v>5775.0000000000009</v>
      </c>
    </row>
    <row r="4689" spans="2:10" ht="15.95" customHeight="1" thickBot="1" x14ac:dyDescent="0.3">
      <c r="C4689" s="122"/>
      <c r="D4689" s="117" t="s">
        <v>373</v>
      </c>
      <c r="E4689" s="123" t="s">
        <v>374</v>
      </c>
      <c r="F4689" s="123" t="s">
        <v>368</v>
      </c>
      <c r="G4689" s="124">
        <v>3.5000000000000003E-2</v>
      </c>
      <c r="H4689" s="125">
        <f>VLOOKUP(D4689,Upah,8,FALSE)</f>
        <v>170000</v>
      </c>
      <c r="I4689" s="126">
        <f>G4689*H4689</f>
        <v>5950.0000000000009</v>
      </c>
    </row>
    <row r="4690" spans="2:10" ht="15.95" customHeight="1" thickBot="1" x14ac:dyDescent="0.3">
      <c r="C4690" s="132"/>
      <c r="D4690" s="133"/>
      <c r="E4690" s="134"/>
      <c r="F4690" s="134"/>
      <c r="G4690" s="135" t="s">
        <v>375</v>
      </c>
      <c r="H4690" s="136"/>
      <c r="I4690" s="137">
        <f>SUM(I4686:I4689)</f>
        <v>151725</v>
      </c>
    </row>
    <row r="4691" spans="2:10" ht="15.95" customHeight="1" x14ac:dyDescent="0.25">
      <c r="C4691" s="116" t="s">
        <v>376</v>
      </c>
      <c r="D4691" s="117" t="s">
        <v>377</v>
      </c>
      <c r="E4691" s="118"/>
      <c r="F4691" s="118"/>
      <c r="G4691" s="165"/>
      <c r="H4691" s="144"/>
      <c r="I4691" s="126"/>
    </row>
    <row r="4692" spans="2:10" ht="15.95" customHeight="1" x14ac:dyDescent="0.25">
      <c r="C4692" s="122"/>
      <c r="D4692" s="117" t="s">
        <v>1121</v>
      </c>
      <c r="E4692" s="118"/>
      <c r="F4692" s="123" t="s">
        <v>418</v>
      </c>
      <c r="G4692" s="124">
        <v>1.1000000000000001</v>
      </c>
      <c r="H4692" s="144">
        <f>VLOOKUP(D4692,Bahan,6,FALSE)</f>
        <v>93600</v>
      </c>
      <c r="I4692" s="126">
        <f>G4692*H4692</f>
        <v>102960.00000000001</v>
      </c>
    </row>
    <row r="4693" spans="2:10" ht="15.95" customHeight="1" x14ac:dyDescent="0.25">
      <c r="C4693" s="122"/>
      <c r="D4693" s="117" t="s">
        <v>380</v>
      </c>
      <c r="E4693" s="118"/>
      <c r="F4693" s="123" t="s">
        <v>159</v>
      </c>
      <c r="G4693" s="124">
        <v>11.75</v>
      </c>
      <c r="H4693" s="144">
        <f>VLOOKUP(D4693,Bahan,6,FALSE)</f>
        <v>1880</v>
      </c>
      <c r="I4693" s="126">
        <f>G4693*H4693</f>
        <v>22090</v>
      </c>
    </row>
    <row r="4694" spans="2:10" ht="15.95" customHeight="1" thickBot="1" x14ac:dyDescent="0.3">
      <c r="C4694" s="122"/>
      <c r="D4694" s="117" t="s">
        <v>493</v>
      </c>
      <c r="E4694" s="118"/>
      <c r="F4694" s="123" t="s">
        <v>489</v>
      </c>
      <c r="G4694" s="124">
        <v>3.5000000000000003E-2</v>
      </c>
      <c r="H4694" s="144">
        <f>VLOOKUP(D4694,Bahan,6,FALSE)</f>
        <v>253510</v>
      </c>
      <c r="I4694" s="126">
        <f>G4694*H4694</f>
        <v>8872.85</v>
      </c>
    </row>
    <row r="4695" spans="2:10" ht="15.95" customHeight="1" thickBot="1" x14ac:dyDescent="0.3">
      <c r="C4695" s="132"/>
      <c r="D4695" s="133"/>
      <c r="E4695" s="134"/>
      <c r="F4695" s="134"/>
      <c r="G4695" s="135" t="s">
        <v>386</v>
      </c>
      <c r="H4695" s="136"/>
      <c r="I4695" s="137">
        <f>SUM(I4692:I4694)</f>
        <v>133922.85</v>
      </c>
    </row>
    <row r="4696" spans="2:10" ht="15.95" customHeight="1" thickBot="1" x14ac:dyDescent="0.3">
      <c r="C4696" s="116" t="s">
        <v>387</v>
      </c>
      <c r="D4696" s="117" t="s">
        <v>388</v>
      </c>
      <c r="E4696" s="118"/>
      <c r="F4696" s="118"/>
      <c r="G4696" s="165"/>
      <c r="H4696" s="144">
        <f>IF(AND(D4696&lt;&gt;"",F4696&lt;&gt;""),IF(C4696="",IF(F4696="OH",VLOOKUP(D4696,[1]UPAH!$B$3:$G$32,7,0),VLOOKUP(D4696,[1]BAHAN!$A$2:$D$3,4,0)),0),0)</f>
        <v>0</v>
      </c>
      <c r="I4696" s="126">
        <f>G4696*H4696</f>
        <v>0</v>
      </c>
    </row>
    <row r="4697" spans="2:10" ht="15.95" customHeight="1" thickBot="1" x14ac:dyDescent="0.3">
      <c r="C4697" s="132"/>
      <c r="D4697" s="133"/>
      <c r="E4697" s="134"/>
      <c r="F4697" s="134"/>
      <c r="G4697" s="135" t="s">
        <v>389</v>
      </c>
      <c r="H4697" s="136"/>
      <c r="I4697" s="137">
        <f>I4696</f>
        <v>0</v>
      </c>
    </row>
    <row r="4698" spans="2:10" ht="15.95" customHeight="1" x14ac:dyDescent="0.25">
      <c r="C4698" s="158" t="s">
        <v>390</v>
      </c>
      <c r="D4698" s="159" t="s">
        <v>391</v>
      </c>
      <c r="E4698" s="160"/>
      <c r="F4698" s="160"/>
      <c r="G4698" s="161"/>
      <c r="H4698" s="162">
        <f>IF(AND(D4698&lt;&gt;"",F4698&lt;&gt;""),IF(C4698="",IF(F4698="OH",VLOOKUP(D4698,[1]UPAH!$B$3:$G$32,7,0),VLOOKUP(D4698,[1]BAHAN!$A$2:$D$3,4,0)),0),0)</f>
        <v>0</v>
      </c>
      <c r="I4698" s="126">
        <f>SUM(I4686:I4697)/2</f>
        <v>285647.84999999998</v>
      </c>
    </row>
    <row r="4699" spans="2:10" ht="15.95" customHeight="1" thickBot="1" x14ac:dyDescent="0.3">
      <c r="C4699" s="147" t="s">
        <v>392</v>
      </c>
      <c r="D4699" s="148" t="s">
        <v>393</v>
      </c>
      <c r="E4699" s="149"/>
      <c r="F4699" s="149"/>
      <c r="G4699" s="164">
        <v>0.1</v>
      </c>
      <c r="H4699" s="151"/>
      <c r="I4699" s="146">
        <f>G4699*I4698</f>
        <v>28564.785</v>
      </c>
    </row>
    <row r="4700" spans="2:10" ht="15.95" customHeight="1" thickBot="1" x14ac:dyDescent="0.3">
      <c r="C4700" s="111" t="s">
        <v>394</v>
      </c>
      <c r="D4700" s="112" t="s">
        <v>395</v>
      </c>
      <c r="E4700" s="134"/>
      <c r="F4700" s="134"/>
      <c r="G4700" s="156"/>
      <c r="H4700" s="136">
        <f>IF(AND(D4700&lt;&gt;"",F4700&lt;&gt;""),IF(C4700="",IF(F4700="OH",VLOOKUP(D4700,[1]UPAH!$B$3:$G$32,7,0),VLOOKUP(D4700,[1]BAHAN!$A$2:$D$3,4,0)),0),0)</f>
        <v>0</v>
      </c>
      <c r="I4700" s="137">
        <f>ROUNDDOWN(I4698+I4699,0)</f>
        <v>314212</v>
      </c>
    </row>
    <row r="4701" spans="2:10" ht="15.95" customHeight="1" x14ac:dyDescent="0.25">
      <c r="C4701" s="109"/>
      <c r="D4701" s="109"/>
      <c r="G4701" s="157"/>
    </row>
    <row r="4702" spans="2:10" ht="15.95" customHeight="1" thickBot="1" x14ac:dyDescent="0.3">
      <c r="B4702" s="109" t="s">
        <v>1122</v>
      </c>
      <c r="C4702" s="104" t="s">
        <v>1123</v>
      </c>
      <c r="G4702" s="157"/>
      <c r="J4702" s="110">
        <f>I4719</f>
        <v>220921</v>
      </c>
    </row>
    <row r="4703" spans="2:10" ht="15.95" customHeight="1" thickBot="1" x14ac:dyDescent="0.3">
      <c r="C4703" s="111" t="s">
        <v>328</v>
      </c>
      <c r="D4703" s="112" t="s">
        <v>359</v>
      </c>
      <c r="E4703" s="113" t="s">
        <v>360</v>
      </c>
      <c r="F4703" s="113" t="s">
        <v>330</v>
      </c>
      <c r="G4703" s="114" t="s">
        <v>361</v>
      </c>
      <c r="H4703" s="112" t="s">
        <v>362</v>
      </c>
      <c r="I4703" s="115" t="s">
        <v>363</v>
      </c>
    </row>
    <row r="4704" spans="2:10" ht="15.95" customHeight="1" x14ac:dyDescent="0.25">
      <c r="C4704" s="116" t="s">
        <v>364</v>
      </c>
      <c r="D4704" s="117" t="s">
        <v>365</v>
      </c>
      <c r="E4704" s="118"/>
      <c r="F4704" s="118"/>
      <c r="G4704" s="165"/>
      <c r="H4704" s="144"/>
      <c r="I4704" s="126"/>
    </row>
    <row r="4705" spans="3:9" ht="15.95" customHeight="1" x14ac:dyDescent="0.25">
      <c r="C4705" s="122"/>
      <c r="D4705" s="117" t="s">
        <v>366</v>
      </c>
      <c r="E4705" s="123" t="s">
        <v>367</v>
      </c>
      <c r="F4705" s="123" t="s">
        <v>368</v>
      </c>
      <c r="G4705" s="124">
        <v>0.7</v>
      </c>
      <c r="H4705" s="125">
        <f>VLOOKUP(D4705,Upah,8,FALSE)</f>
        <v>125000</v>
      </c>
      <c r="I4705" s="126">
        <f>G4705*H4705</f>
        <v>87500</v>
      </c>
    </row>
    <row r="4706" spans="3:9" ht="15.95" customHeight="1" x14ac:dyDescent="0.25">
      <c r="C4706" s="122"/>
      <c r="D4706" s="117" t="s">
        <v>505</v>
      </c>
      <c r="E4706" s="123" t="s">
        <v>414</v>
      </c>
      <c r="F4706" s="123" t="s">
        <v>368</v>
      </c>
      <c r="G4706" s="124">
        <v>0.35</v>
      </c>
      <c r="H4706" s="125">
        <f>VLOOKUP(D4706,Upah,8,FALSE)</f>
        <v>150000</v>
      </c>
      <c r="I4706" s="126">
        <f>G4706*H4706</f>
        <v>52500</v>
      </c>
    </row>
    <row r="4707" spans="3:9" ht="15.95" customHeight="1" x14ac:dyDescent="0.25">
      <c r="C4707" s="122"/>
      <c r="D4707" s="117" t="s">
        <v>429</v>
      </c>
      <c r="E4707" s="123" t="s">
        <v>372</v>
      </c>
      <c r="F4707" s="123" t="s">
        <v>368</v>
      </c>
      <c r="G4707" s="124">
        <v>3.5000000000000003E-2</v>
      </c>
      <c r="H4707" s="125">
        <f>VLOOKUP(D4707,Upah,8,FALSE)</f>
        <v>165000</v>
      </c>
      <c r="I4707" s="126">
        <f>G4707*H4707</f>
        <v>5775.0000000000009</v>
      </c>
    </row>
    <row r="4708" spans="3:9" ht="15.95" customHeight="1" thickBot="1" x14ac:dyDescent="0.3">
      <c r="C4708" s="122"/>
      <c r="D4708" s="117" t="s">
        <v>373</v>
      </c>
      <c r="E4708" s="123" t="s">
        <v>374</v>
      </c>
      <c r="F4708" s="123" t="s">
        <v>368</v>
      </c>
      <c r="G4708" s="124">
        <v>3.5000000000000003E-2</v>
      </c>
      <c r="H4708" s="125">
        <f>VLOOKUP(D4708,Upah,8,FALSE)</f>
        <v>170000</v>
      </c>
      <c r="I4708" s="126">
        <f>G4708*H4708</f>
        <v>5950.0000000000009</v>
      </c>
    </row>
    <row r="4709" spans="3:9" ht="15.95" customHeight="1" thickBot="1" x14ac:dyDescent="0.3">
      <c r="C4709" s="132"/>
      <c r="D4709" s="133"/>
      <c r="E4709" s="134"/>
      <c r="F4709" s="134"/>
      <c r="G4709" s="135" t="s">
        <v>375</v>
      </c>
      <c r="H4709" s="136"/>
      <c r="I4709" s="137">
        <f>SUM(I4705:I4708)</f>
        <v>151725</v>
      </c>
    </row>
    <row r="4710" spans="3:9" ht="15.95" customHeight="1" x14ac:dyDescent="0.25">
      <c r="C4710" s="116" t="s">
        <v>376</v>
      </c>
      <c r="D4710" s="117" t="s">
        <v>377</v>
      </c>
      <c r="E4710" s="118"/>
      <c r="F4710" s="118"/>
      <c r="G4710" s="165"/>
      <c r="H4710" s="144"/>
      <c r="I4710" s="126"/>
    </row>
    <row r="4711" spans="3:9" ht="15.95" customHeight="1" x14ac:dyDescent="0.25">
      <c r="C4711" s="122"/>
      <c r="D4711" s="117" t="s">
        <v>1124</v>
      </c>
      <c r="E4711" s="118"/>
      <c r="F4711" s="123" t="s">
        <v>418</v>
      </c>
      <c r="G4711" s="124">
        <v>1.1000000000000001</v>
      </c>
      <c r="H4711" s="144">
        <f>VLOOKUP(D4711,Bahan,6,FALSE)</f>
        <v>16500</v>
      </c>
      <c r="I4711" s="126">
        <f>G4711*H4711</f>
        <v>18150</v>
      </c>
    </row>
    <row r="4712" spans="3:9" ht="15.95" customHeight="1" x14ac:dyDescent="0.25">
      <c r="C4712" s="122"/>
      <c r="D4712" s="117" t="s">
        <v>380</v>
      </c>
      <c r="E4712" s="118"/>
      <c r="F4712" s="123" t="s">
        <v>159</v>
      </c>
      <c r="G4712" s="124">
        <v>11.75</v>
      </c>
      <c r="H4712" s="144">
        <f>VLOOKUP(D4712,Bahan,6,FALSE)</f>
        <v>1880</v>
      </c>
      <c r="I4712" s="126">
        <f>G4712*H4712</f>
        <v>22090</v>
      </c>
    </row>
    <row r="4713" spans="3:9" ht="15.95" customHeight="1" thickBot="1" x14ac:dyDescent="0.3">
      <c r="C4713" s="122"/>
      <c r="D4713" s="117" t="s">
        <v>493</v>
      </c>
      <c r="E4713" s="118"/>
      <c r="F4713" s="123" t="s">
        <v>489</v>
      </c>
      <c r="G4713" s="124">
        <v>3.5000000000000003E-2</v>
      </c>
      <c r="H4713" s="144">
        <f>VLOOKUP(D4713,Bahan,6,FALSE)</f>
        <v>253510</v>
      </c>
      <c r="I4713" s="126">
        <f>G4713*H4713</f>
        <v>8872.85</v>
      </c>
    </row>
    <row r="4714" spans="3:9" ht="15.95" customHeight="1" thickBot="1" x14ac:dyDescent="0.3">
      <c r="C4714" s="132"/>
      <c r="D4714" s="133"/>
      <c r="E4714" s="134"/>
      <c r="F4714" s="134"/>
      <c r="G4714" s="135" t="s">
        <v>386</v>
      </c>
      <c r="H4714" s="136"/>
      <c r="I4714" s="137">
        <f>SUM(I4711:I4713)</f>
        <v>49112.85</v>
      </c>
    </row>
    <row r="4715" spans="3:9" ht="15.95" customHeight="1" thickBot="1" x14ac:dyDescent="0.3">
      <c r="C4715" s="116" t="s">
        <v>387</v>
      </c>
      <c r="D4715" s="117" t="s">
        <v>388</v>
      </c>
      <c r="E4715" s="118"/>
      <c r="F4715" s="118"/>
      <c r="G4715" s="165"/>
      <c r="H4715" s="144">
        <f>IF(AND(D4715&lt;&gt;"",F4715&lt;&gt;""),IF(C4715="",IF(F4715="OH",VLOOKUP(D4715,[1]UPAH!$B$3:$G$32,7,0),VLOOKUP(D4715,[1]BAHAN!$A$2:$D$3,4,0)),0),0)</f>
        <v>0</v>
      </c>
      <c r="I4715" s="126">
        <f>G4715*H4715</f>
        <v>0</v>
      </c>
    </row>
    <row r="4716" spans="3:9" ht="15.95" customHeight="1" thickBot="1" x14ac:dyDescent="0.3">
      <c r="C4716" s="132"/>
      <c r="D4716" s="133"/>
      <c r="E4716" s="134"/>
      <c r="F4716" s="134"/>
      <c r="G4716" s="135" t="s">
        <v>389</v>
      </c>
      <c r="H4716" s="136"/>
      <c r="I4716" s="137">
        <f>I4715</f>
        <v>0</v>
      </c>
    </row>
    <row r="4717" spans="3:9" ht="15.95" customHeight="1" x14ac:dyDescent="0.25">
      <c r="C4717" s="158" t="s">
        <v>390</v>
      </c>
      <c r="D4717" s="159" t="s">
        <v>391</v>
      </c>
      <c r="E4717" s="160"/>
      <c r="F4717" s="160"/>
      <c r="G4717" s="161"/>
      <c r="H4717" s="162">
        <f>IF(AND(D4717&lt;&gt;"",F4717&lt;&gt;""),IF(C4717="",IF(F4717="OH",VLOOKUP(D4717,[1]UPAH!$B$3:$G$32,7,0),VLOOKUP(D4717,[1]BAHAN!$A$2:$D$3,4,0)),0),0)</f>
        <v>0</v>
      </c>
      <c r="I4717" s="126">
        <f>SUM(I4704:I4716)/2</f>
        <v>200837.84999999998</v>
      </c>
    </row>
    <row r="4718" spans="3:9" ht="15.95" customHeight="1" thickBot="1" x14ac:dyDescent="0.3">
      <c r="C4718" s="147" t="s">
        <v>392</v>
      </c>
      <c r="D4718" s="148" t="s">
        <v>393</v>
      </c>
      <c r="E4718" s="149"/>
      <c r="F4718" s="149"/>
      <c r="G4718" s="164">
        <v>0.1</v>
      </c>
      <c r="H4718" s="151"/>
      <c r="I4718" s="146">
        <f>G4718*I4717</f>
        <v>20083.785</v>
      </c>
    </row>
    <row r="4719" spans="3:9" ht="15.95" customHeight="1" thickBot="1" x14ac:dyDescent="0.3">
      <c r="C4719" s="111" t="s">
        <v>394</v>
      </c>
      <c r="D4719" s="112" t="s">
        <v>395</v>
      </c>
      <c r="E4719" s="134"/>
      <c r="F4719" s="134"/>
      <c r="G4719" s="156"/>
      <c r="H4719" s="136">
        <f>IF(AND(D4719&lt;&gt;"",F4719&lt;&gt;""),IF(C4719="",IF(F4719="OH",VLOOKUP(D4719,[1]UPAH!$B$3:$G$32,7,0),VLOOKUP(D4719,[1]BAHAN!$A$2:$D$3,4,0)),0),0)</f>
        <v>0</v>
      </c>
      <c r="I4719" s="137">
        <f>ROUNDDOWN(I4717+I4718,0)</f>
        <v>220921</v>
      </c>
    </row>
    <row r="4720" spans="3:9" ht="15.95" customHeight="1" x14ac:dyDescent="0.25">
      <c r="C4720" s="109"/>
      <c r="D4720" s="109"/>
      <c r="G4720" s="157"/>
    </row>
    <row r="4721" spans="2:10" ht="15.95" customHeight="1" thickBot="1" x14ac:dyDescent="0.3">
      <c r="B4721" s="109" t="s">
        <v>1125</v>
      </c>
      <c r="C4721" s="104" t="s">
        <v>1126</v>
      </c>
      <c r="G4721" s="157"/>
      <c r="J4721" s="110">
        <f>I4737</f>
        <v>324031</v>
      </c>
    </row>
    <row r="4722" spans="2:10" ht="15.95" customHeight="1" thickBot="1" x14ac:dyDescent="0.3">
      <c r="C4722" s="111" t="s">
        <v>328</v>
      </c>
      <c r="D4722" s="112" t="s">
        <v>359</v>
      </c>
      <c r="E4722" s="113" t="s">
        <v>360</v>
      </c>
      <c r="F4722" s="113" t="s">
        <v>330</v>
      </c>
      <c r="G4722" s="114" t="s">
        <v>361</v>
      </c>
      <c r="H4722" s="112" t="s">
        <v>362</v>
      </c>
      <c r="I4722" s="115" t="s">
        <v>363</v>
      </c>
    </row>
    <row r="4723" spans="2:10" ht="15.95" customHeight="1" x14ac:dyDescent="0.25">
      <c r="C4723" s="116" t="s">
        <v>364</v>
      </c>
      <c r="D4723" s="117" t="s">
        <v>365</v>
      </c>
      <c r="E4723" s="118"/>
      <c r="F4723" s="118"/>
      <c r="G4723" s="165"/>
      <c r="H4723" s="144"/>
      <c r="I4723" s="126"/>
    </row>
    <row r="4724" spans="2:10" ht="15.95" customHeight="1" x14ac:dyDescent="0.25">
      <c r="C4724" s="122"/>
      <c r="D4724" s="117" t="s">
        <v>366</v>
      </c>
      <c r="E4724" s="123" t="s">
        <v>367</v>
      </c>
      <c r="F4724" s="123" t="s">
        <v>368</v>
      </c>
      <c r="G4724" s="124">
        <v>0.15</v>
      </c>
      <c r="H4724" s="125">
        <f>VLOOKUP(D4724,Upah,8,FALSE)</f>
        <v>125000</v>
      </c>
      <c r="I4724" s="126">
        <f>G4724*H4724</f>
        <v>18750</v>
      </c>
    </row>
    <row r="4725" spans="2:10" ht="15.95" customHeight="1" x14ac:dyDescent="0.25">
      <c r="C4725" s="122"/>
      <c r="D4725" s="117" t="s">
        <v>505</v>
      </c>
      <c r="E4725" s="123" t="s">
        <v>414</v>
      </c>
      <c r="F4725" s="123" t="s">
        <v>368</v>
      </c>
      <c r="G4725" s="124">
        <v>0.15</v>
      </c>
      <c r="H4725" s="125">
        <f>VLOOKUP(D4725,Upah,8,FALSE)</f>
        <v>150000</v>
      </c>
      <c r="I4725" s="126">
        <f>G4725*H4725</f>
        <v>22500</v>
      </c>
    </row>
    <row r="4726" spans="2:10" ht="15.95" customHeight="1" x14ac:dyDescent="0.25">
      <c r="C4726" s="122"/>
      <c r="D4726" s="117" t="s">
        <v>429</v>
      </c>
      <c r="E4726" s="123" t="s">
        <v>372</v>
      </c>
      <c r="F4726" s="123" t="s">
        <v>368</v>
      </c>
      <c r="G4726" s="124">
        <v>1.4999999999999999E-2</v>
      </c>
      <c r="H4726" s="125">
        <f>VLOOKUP(D4726,Upah,8,FALSE)</f>
        <v>165000</v>
      </c>
      <c r="I4726" s="126">
        <f>G4726*H4726</f>
        <v>2475</v>
      </c>
    </row>
    <row r="4727" spans="2:10" ht="15.95" customHeight="1" thickBot="1" x14ac:dyDescent="0.3">
      <c r="C4727" s="122"/>
      <c r="D4727" s="117" t="s">
        <v>373</v>
      </c>
      <c r="E4727" s="123" t="s">
        <v>374</v>
      </c>
      <c r="F4727" s="123" t="s">
        <v>368</v>
      </c>
      <c r="G4727" s="124">
        <v>8.0000000000000002E-3</v>
      </c>
      <c r="H4727" s="125">
        <f>VLOOKUP(D4727,Upah,8,FALSE)</f>
        <v>170000</v>
      </c>
      <c r="I4727" s="126">
        <f>G4727*H4727</f>
        <v>1360</v>
      </c>
    </row>
    <row r="4728" spans="2:10" ht="15.95" customHeight="1" thickBot="1" x14ac:dyDescent="0.3">
      <c r="C4728" s="132"/>
      <c r="D4728" s="133"/>
      <c r="E4728" s="134"/>
      <c r="F4728" s="134"/>
      <c r="G4728" s="135" t="s">
        <v>375</v>
      </c>
      <c r="H4728" s="136"/>
      <c r="I4728" s="137">
        <f>SUM(I4724:I4727)</f>
        <v>45085</v>
      </c>
    </row>
    <row r="4729" spans="2:10" ht="15.95" customHeight="1" x14ac:dyDescent="0.25">
      <c r="C4729" s="116" t="s">
        <v>376</v>
      </c>
      <c r="D4729" s="117" t="s">
        <v>377</v>
      </c>
      <c r="E4729" s="118"/>
      <c r="F4729" s="118"/>
      <c r="G4729" s="165"/>
      <c r="H4729" s="144"/>
      <c r="I4729" s="126"/>
    </row>
    <row r="4730" spans="2:10" ht="15.95" customHeight="1" x14ac:dyDescent="0.25">
      <c r="C4730" s="122"/>
      <c r="D4730" s="117" t="s">
        <v>1127</v>
      </c>
      <c r="E4730" s="118"/>
      <c r="F4730" s="123" t="s">
        <v>418</v>
      </c>
      <c r="G4730" s="124">
        <v>11.87</v>
      </c>
      <c r="H4730" s="144">
        <f>VLOOKUP(D4730,Bahan,6,FALSE)</f>
        <v>20570</v>
      </c>
      <c r="I4730" s="126">
        <f>G4730*H4730</f>
        <v>244165.9</v>
      </c>
    </row>
    <row r="4731" spans="2:10" ht="15.95" customHeight="1" thickBot="1" x14ac:dyDescent="0.3">
      <c r="C4731" s="122"/>
      <c r="D4731" s="117" t="s">
        <v>1082</v>
      </c>
      <c r="E4731" s="118"/>
      <c r="F4731" s="123" t="s">
        <v>159</v>
      </c>
      <c r="G4731" s="124">
        <v>0.35</v>
      </c>
      <c r="H4731" s="144">
        <f>VLOOKUP(D4731,Bahan,6,FALSE)</f>
        <v>15210</v>
      </c>
      <c r="I4731" s="126">
        <f>G4731*H4731</f>
        <v>5323.5</v>
      </c>
    </row>
    <row r="4732" spans="2:10" ht="15.95" customHeight="1" thickBot="1" x14ac:dyDescent="0.3">
      <c r="C4732" s="132"/>
      <c r="D4732" s="133"/>
      <c r="E4732" s="134"/>
      <c r="F4732" s="134"/>
      <c r="G4732" s="135" t="s">
        <v>386</v>
      </c>
      <c r="H4732" s="136"/>
      <c r="I4732" s="137">
        <f>SUM(I4730:I4731)</f>
        <v>249489.4</v>
      </c>
    </row>
    <row r="4733" spans="2:10" ht="15.95" customHeight="1" thickBot="1" x14ac:dyDescent="0.3">
      <c r="C4733" s="116" t="s">
        <v>387</v>
      </c>
      <c r="D4733" s="117" t="s">
        <v>388</v>
      </c>
      <c r="E4733" s="118"/>
      <c r="F4733" s="118"/>
      <c r="G4733" s="165"/>
      <c r="H4733" s="144">
        <f>IF(AND(D4733&lt;&gt;"",F4733&lt;&gt;""),IF(C4733="",IF(F4733="OH",VLOOKUP(D4733,[1]UPAH!$B$3:$G$32,7,0),VLOOKUP(D4733,[1]BAHAN!$A$2:$D$3,4,0)),0),0)</f>
        <v>0</v>
      </c>
      <c r="I4733" s="126">
        <f>G4733*H4733</f>
        <v>0</v>
      </c>
    </row>
    <row r="4734" spans="2:10" ht="15.95" customHeight="1" thickBot="1" x14ac:dyDescent="0.3">
      <c r="C4734" s="132"/>
      <c r="D4734" s="133"/>
      <c r="E4734" s="134"/>
      <c r="F4734" s="134"/>
      <c r="G4734" s="135" t="s">
        <v>389</v>
      </c>
      <c r="H4734" s="136"/>
      <c r="I4734" s="137">
        <f>I4733</f>
        <v>0</v>
      </c>
    </row>
    <row r="4735" spans="2:10" ht="15.95" customHeight="1" x14ac:dyDescent="0.25">
      <c r="C4735" s="158" t="s">
        <v>390</v>
      </c>
      <c r="D4735" s="159" t="s">
        <v>391</v>
      </c>
      <c r="E4735" s="160"/>
      <c r="F4735" s="160"/>
      <c r="G4735" s="161"/>
      <c r="H4735" s="162">
        <f>IF(AND(D4735&lt;&gt;"",F4735&lt;&gt;""),IF(C4735="",IF(F4735="OH",VLOOKUP(D4735,[1]UPAH!$B$3:$G$32,7,0),VLOOKUP(D4735,[1]BAHAN!$A$2:$D$3,4,0)),0),0)</f>
        <v>0</v>
      </c>
      <c r="I4735" s="126">
        <f>SUM(I4724:I4734)/2</f>
        <v>294574.40000000002</v>
      </c>
    </row>
    <row r="4736" spans="2:10" ht="15.95" customHeight="1" thickBot="1" x14ac:dyDescent="0.3">
      <c r="C4736" s="147" t="s">
        <v>392</v>
      </c>
      <c r="D4736" s="148" t="s">
        <v>393</v>
      </c>
      <c r="E4736" s="149"/>
      <c r="F4736" s="149"/>
      <c r="G4736" s="164">
        <v>0.1</v>
      </c>
      <c r="H4736" s="151"/>
      <c r="I4736" s="146">
        <f>G4736*I4735</f>
        <v>29457.440000000002</v>
      </c>
    </row>
    <row r="4737" spans="2:10" ht="15.95" customHeight="1" thickBot="1" x14ac:dyDescent="0.3">
      <c r="C4737" s="111" t="s">
        <v>394</v>
      </c>
      <c r="D4737" s="112" t="s">
        <v>395</v>
      </c>
      <c r="E4737" s="134"/>
      <c r="F4737" s="134"/>
      <c r="G4737" s="156"/>
      <c r="H4737" s="136">
        <f>IF(AND(D4737&lt;&gt;"",F4737&lt;&gt;""),IF(C4737="",IF(F4737="OH",VLOOKUP(D4737,[1]UPAH!$B$3:$G$32,7,0),VLOOKUP(D4737,[1]BAHAN!$A$2:$D$3,4,0)),0),0)</f>
        <v>0</v>
      </c>
      <c r="I4737" s="137">
        <f>ROUNDDOWN(I4735+I4736,0)</f>
        <v>324031</v>
      </c>
    </row>
    <row r="4738" spans="2:10" ht="15.95" customHeight="1" x14ac:dyDescent="0.25">
      <c r="C4738" s="109"/>
      <c r="D4738" s="109"/>
      <c r="G4738" s="157"/>
    </row>
    <row r="4739" spans="2:10" ht="15.95" customHeight="1" thickBot="1" x14ac:dyDescent="0.3">
      <c r="B4739" s="109" t="s">
        <v>1128</v>
      </c>
      <c r="C4739" s="104" t="s">
        <v>1129</v>
      </c>
      <c r="G4739" s="157"/>
      <c r="J4739" s="110">
        <f>I4755</f>
        <v>146198</v>
      </c>
    </row>
    <row r="4740" spans="2:10" ht="15.95" customHeight="1" thickBot="1" x14ac:dyDescent="0.3">
      <c r="C4740" s="111" t="s">
        <v>328</v>
      </c>
      <c r="D4740" s="112" t="s">
        <v>359</v>
      </c>
      <c r="E4740" s="113" t="s">
        <v>360</v>
      </c>
      <c r="F4740" s="113" t="s">
        <v>330</v>
      </c>
      <c r="G4740" s="114" t="s">
        <v>361</v>
      </c>
      <c r="H4740" s="112" t="s">
        <v>362</v>
      </c>
      <c r="I4740" s="115" t="s">
        <v>363</v>
      </c>
    </row>
    <row r="4741" spans="2:10" ht="15.95" customHeight="1" x14ac:dyDescent="0.25">
      <c r="C4741" s="116" t="s">
        <v>364</v>
      </c>
      <c r="D4741" s="117" t="s">
        <v>365</v>
      </c>
      <c r="E4741" s="118"/>
      <c r="F4741" s="118"/>
      <c r="G4741" s="165"/>
      <c r="H4741" s="144"/>
      <c r="I4741" s="126"/>
    </row>
    <row r="4742" spans="2:10" ht="15.95" customHeight="1" x14ac:dyDescent="0.25">
      <c r="C4742" s="122"/>
      <c r="D4742" s="117" t="s">
        <v>366</v>
      </c>
      <c r="E4742" s="123" t="s">
        <v>367</v>
      </c>
      <c r="F4742" s="123" t="s">
        <v>368</v>
      </c>
      <c r="G4742" s="124">
        <v>0.35</v>
      </c>
      <c r="H4742" s="125">
        <f>VLOOKUP(D4742,Upah,8,FALSE)</f>
        <v>125000</v>
      </c>
      <c r="I4742" s="126">
        <f>G4742*H4742</f>
        <v>43750</v>
      </c>
    </row>
    <row r="4743" spans="2:10" ht="15.95" customHeight="1" x14ac:dyDescent="0.25">
      <c r="C4743" s="122"/>
      <c r="D4743" s="117" t="s">
        <v>505</v>
      </c>
      <c r="E4743" s="123" t="s">
        <v>414</v>
      </c>
      <c r="F4743" s="123" t="s">
        <v>368</v>
      </c>
      <c r="G4743" s="124">
        <v>0.17499999999999999</v>
      </c>
      <c r="H4743" s="125">
        <f>VLOOKUP(D4743,Upah,8,FALSE)</f>
        <v>150000</v>
      </c>
      <c r="I4743" s="126">
        <f>G4743*H4743</f>
        <v>26250</v>
      </c>
    </row>
    <row r="4744" spans="2:10" ht="15.95" customHeight="1" x14ac:dyDescent="0.25">
      <c r="C4744" s="122"/>
      <c r="D4744" s="117" t="s">
        <v>429</v>
      </c>
      <c r="E4744" s="123" t="s">
        <v>372</v>
      </c>
      <c r="F4744" s="123" t="s">
        <v>368</v>
      </c>
      <c r="G4744" s="124">
        <v>1.7000000000000001E-2</v>
      </c>
      <c r="H4744" s="125">
        <f>VLOOKUP(D4744,Upah,8,FALSE)</f>
        <v>165000</v>
      </c>
      <c r="I4744" s="126">
        <f>G4744*H4744</f>
        <v>2805</v>
      </c>
    </row>
    <row r="4745" spans="2:10" ht="15.95" customHeight="1" thickBot="1" x14ac:dyDescent="0.3">
      <c r="C4745" s="122"/>
      <c r="D4745" s="117" t="s">
        <v>373</v>
      </c>
      <c r="E4745" s="123" t="s">
        <v>374</v>
      </c>
      <c r="F4745" s="123" t="s">
        <v>368</v>
      </c>
      <c r="G4745" s="124">
        <v>2E-3</v>
      </c>
      <c r="H4745" s="125">
        <f>VLOOKUP(D4745,Upah,8,FALSE)</f>
        <v>170000</v>
      </c>
      <c r="I4745" s="126">
        <f>G4745*H4745</f>
        <v>340</v>
      </c>
    </row>
    <row r="4746" spans="2:10" ht="15.95" customHeight="1" thickBot="1" x14ac:dyDescent="0.3">
      <c r="C4746" s="132"/>
      <c r="D4746" s="133"/>
      <c r="E4746" s="134"/>
      <c r="F4746" s="134"/>
      <c r="G4746" s="135" t="s">
        <v>375</v>
      </c>
      <c r="H4746" s="136"/>
      <c r="I4746" s="137">
        <f>SUM(I4742:I4745)</f>
        <v>73145</v>
      </c>
    </row>
    <row r="4747" spans="2:10" ht="15.95" customHeight="1" x14ac:dyDescent="0.25">
      <c r="C4747" s="116" t="s">
        <v>376</v>
      </c>
      <c r="D4747" s="117" t="s">
        <v>377</v>
      </c>
      <c r="E4747" s="118"/>
      <c r="F4747" s="118"/>
      <c r="G4747" s="165"/>
      <c r="H4747" s="144"/>
      <c r="I4747" s="126"/>
    </row>
    <row r="4748" spans="2:10" ht="15.95" customHeight="1" x14ac:dyDescent="0.25">
      <c r="C4748" s="122"/>
      <c r="D4748" s="117" t="s">
        <v>1130</v>
      </c>
      <c r="E4748" s="118"/>
      <c r="F4748" s="123" t="s">
        <v>127</v>
      </c>
      <c r="G4748" s="124">
        <v>2.2000000000000002</v>
      </c>
      <c r="H4748" s="144">
        <f>VLOOKUP(D4748,Bahan,6,FALSE)</f>
        <v>25000</v>
      </c>
      <c r="I4748" s="126">
        <f>G4748*H4748</f>
        <v>55000.000000000007</v>
      </c>
    </row>
    <row r="4749" spans="2:10" ht="15.95" customHeight="1" thickBot="1" x14ac:dyDescent="0.3">
      <c r="C4749" s="122"/>
      <c r="D4749" s="117" t="s">
        <v>1131</v>
      </c>
      <c r="E4749" s="118"/>
      <c r="F4749" s="123" t="s">
        <v>159</v>
      </c>
      <c r="G4749" s="124">
        <v>0.25</v>
      </c>
      <c r="H4749" s="144">
        <f>VLOOKUP(D4749,Bahan,6,FALSE)</f>
        <v>19050</v>
      </c>
      <c r="I4749" s="126">
        <f>G4749*H4749</f>
        <v>4762.5</v>
      </c>
    </row>
    <row r="4750" spans="2:10" ht="15.95" customHeight="1" thickBot="1" x14ac:dyDescent="0.3">
      <c r="C4750" s="132"/>
      <c r="D4750" s="133"/>
      <c r="E4750" s="134"/>
      <c r="F4750" s="134"/>
      <c r="G4750" s="135" t="s">
        <v>386</v>
      </c>
      <c r="H4750" s="136"/>
      <c r="I4750" s="137">
        <f>SUM(I4748:I4749)</f>
        <v>59762.500000000007</v>
      </c>
    </row>
    <row r="4751" spans="2:10" ht="15.95" customHeight="1" thickBot="1" x14ac:dyDescent="0.3">
      <c r="C4751" s="116" t="s">
        <v>387</v>
      </c>
      <c r="D4751" s="117" t="s">
        <v>388</v>
      </c>
      <c r="E4751" s="118"/>
      <c r="F4751" s="118"/>
      <c r="G4751" s="165"/>
      <c r="H4751" s="144">
        <f>IF(AND(D4751&lt;&gt;"",F4751&lt;&gt;""),IF(C4751="",IF(F4751="OH",VLOOKUP(D4751,[1]UPAH!$B$3:$G$32,7,0),VLOOKUP(D4751,[1]BAHAN!$A$2:$D$3,4,0)),0),0)</f>
        <v>0</v>
      </c>
      <c r="I4751" s="126">
        <f>G4751*H4751</f>
        <v>0</v>
      </c>
    </row>
    <row r="4752" spans="2:10" ht="15.95" customHeight="1" thickBot="1" x14ac:dyDescent="0.3">
      <c r="C4752" s="132"/>
      <c r="D4752" s="133"/>
      <c r="E4752" s="134"/>
      <c r="F4752" s="134"/>
      <c r="G4752" s="135" t="s">
        <v>389</v>
      </c>
      <c r="H4752" s="136"/>
      <c r="I4752" s="137">
        <f>I4751</f>
        <v>0</v>
      </c>
    </row>
    <row r="4753" spans="2:10" ht="15.95" customHeight="1" x14ac:dyDescent="0.25">
      <c r="C4753" s="158" t="s">
        <v>390</v>
      </c>
      <c r="D4753" s="159" t="s">
        <v>391</v>
      </c>
      <c r="E4753" s="160"/>
      <c r="F4753" s="160"/>
      <c r="G4753" s="161"/>
      <c r="H4753" s="162">
        <f>IF(AND(D4753&lt;&gt;"",F4753&lt;&gt;""),IF(C4753="",IF(F4753="OH",VLOOKUP(D4753,[1]UPAH!$B$3:$G$32,7,0),VLOOKUP(D4753,[1]BAHAN!$A$2:$D$3,4,0)),0),0)</f>
        <v>0</v>
      </c>
      <c r="I4753" s="126">
        <f>SUM(I4742:I4752)/2</f>
        <v>132907.5</v>
      </c>
    </row>
    <row r="4754" spans="2:10" ht="15.95" customHeight="1" thickBot="1" x14ac:dyDescent="0.3">
      <c r="C4754" s="147" t="s">
        <v>392</v>
      </c>
      <c r="D4754" s="148" t="s">
        <v>393</v>
      </c>
      <c r="E4754" s="149"/>
      <c r="F4754" s="149"/>
      <c r="G4754" s="164">
        <v>0.1</v>
      </c>
      <c r="H4754" s="151"/>
      <c r="I4754" s="146">
        <f>G4754*I4753</f>
        <v>13290.75</v>
      </c>
    </row>
    <row r="4755" spans="2:10" ht="15.95" customHeight="1" thickBot="1" x14ac:dyDescent="0.3">
      <c r="C4755" s="111" t="s">
        <v>394</v>
      </c>
      <c r="D4755" s="112" t="s">
        <v>395</v>
      </c>
      <c r="E4755" s="134"/>
      <c r="F4755" s="134"/>
      <c r="G4755" s="156"/>
      <c r="H4755" s="136">
        <f>IF(AND(D4755&lt;&gt;"",F4755&lt;&gt;""),IF(C4755="",IF(F4755="OH",VLOOKUP(D4755,[1]UPAH!$B$3:$G$32,7,0),VLOOKUP(D4755,[1]BAHAN!$A$2:$D$3,4,0)),0),0)</f>
        <v>0</v>
      </c>
      <c r="I4755" s="137">
        <f>ROUNDDOWN(I4753+I4754,0)</f>
        <v>146198</v>
      </c>
    </row>
    <row r="4756" spans="2:10" ht="15.95" customHeight="1" x14ac:dyDescent="0.25">
      <c r="C4756" s="109"/>
      <c r="D4756" s="109"/>
      <c r="G4756" s="157"/>
    </row>
    <row r="4757" spans="2:10" ht="15.95" customHeight="1" thickBot="1" x14ac:dyDescent="0.3">
      <c r="B4757" s="109" t="s">
        <v>1132</v>
      </c>
      <c r="C4757" s="104" t="s">
        <v>1133</v>
      </c>
      <c r="G4757" s="157"/>
      <c r="J4757" s="110">
        <f>I4772</f>
        <v>63360</v>
      </c>
    </row>
    <row r="4758" spans="2:10" ht="15.95" customHeight="1" thickBot="1" x14ac:dyDescent="0.3">
      <c r="C4758" s="111" t="s">
        <v>328</v>
      </c>
      <c r="D4758" s="112" t="s">
        <v>359</v>
      </c>
      <c r="E4758" s="113" t="s">
        <v>360</v>
      </c>
      <c r="F4758" s="113" t="s">
        <v>330</v>
      </c>
      <c r="G4758" s="114" t="s">
        <v>361</v>
      </c>
      <c r="H4758" s="112" t="s">
        <v>362</v>
      </c>
      <c r="I4758" s="115" t="s">
        <v>363</v>
      </c>
    </row>
    <row r="4759" spans="2:10" ht="15.95" customHeight="1" x14ac:dyDescent="0.25">
      <c r="C4759" s="116" t="s">
        <v>364</v>
      </c>
      <c r="D4759" s="117" t="s">
        <v>365</v>
      </c>
      <c r="E4759" s="118"/>
      <c r="F4759" s="118"/>
      <c r="G4759" s="165"/>
      <c r="H4759" s="144"/>
      <c r="I4759" s="126"/>
    </row>
    <row r="4760" spans="2:10" ht="15.95" customHeight="1" x14ac:dyDescent="0.25">
      <c r="C4760" s="122"/>
      <c r="D4760" s="117" t="s">
        <v>366</v>
      </c>
      <c r="E4760" s="123" t="s">
        <v>367</v>
      </c>
      <c r="F4760" s="123" t="s">
        <v>368</v>
      </c>
      <c r="G4760" s="124">
        <v>0.12</v>
      </c>
      <c r="H4760" s="125">
        <f>VLOOKUP(D4760,Upah,8,FALSE)</f>
        <v>125000</v>
      </c>
      <c r="I4760" s="126">
        <f>G4760*H4760</f>
        <v>15000</v>
      </c>
    </row>
    <row r="4761" spans="2:10" ht="15.95" customHeight="1" x14ac:dyDescent="0.25">
      <c r="C4761" s="122"/>
      <c r="D4761" s="117" t="s">
        <v>505</v>
      </c>
      <c r="E4761" s="123" t="s">
        <v>414</v>
      </c>
      <c r="F4761" s="123" t="s">
        <v>368</v>
      </c>
      <c r="G4761" s="124">
        <v>0.12</v>
      </c>
      <c r="H4761" s="125">
        <f>VLOOKUP(D4761,Upah,8,FALSE)</f>
        <v>150000</v>
      </c>
      <c r="I4761" s="126">
        <f>G4761*H4761</f>
        <v>18000</v>
      </c>
    </row>
    <row r="4762" spans="2:10" ht="15.95" customHeight="1" x14ac:dyDescent="0.25">
      <c r="C4762" s="122"/>
      <c r="D4762" s="117" t="s">
        <v>429</v>
      </c>
      <c r="E4762" s="123" t="s">
        <v>372</v>
      </c>
      <c r="F4762" s="123" t="s">
        <v>368</v>
      </c>
      <c r="G4762" s="124">
        <v>1.2E-2</v>
      </c>
      <c r="H4762" s="125">
        <f>VLOOKUP(D4762,Upah,8,FALSE)</f>
        <v>165000</v>
      </c>
      <c r="I4762" s="126">
        <f>G4762*H4762</f>
        <v>1980</v>
      </c>
    </row>
    <row r="4763" spans="2:10" ht="15.95" customHeight="1" thickBot="1" x14ac:dyDescent="0.3">
      <c r="C4763" s="122"/>
      <c r="D4763" s="117" t="s">
        <v>373</v>
      </c>
      <c r="E4763" s="123" t="s">
        <v>374</v>
      </c>
      <c r="F4763" s="123" t="s">
        <v>368</v>
      </c>
      <c r="G4763" s="124">
        <v>6.0000000000000001E-3</v>
      </c>
      <c r="H4763" s="125">
        <f>VLOOKUP(D4763,Upah,8,FALSE)</f>
        <v>170000</v>
      </c>
      <c r="I4763" s="126">
        <f>G4763*H4763</f>
        <v>1020</v>
      </c>
    </row>
    <row r="4764" spans="2:10" ht="15.95" customHeight="1" thickBot="1" x14ac:dyDescent="0.3">
      <c r="C4764" s="132"/>
      <c r="D4764" s="133"/>
      <c r="E4764" s="134"/>
      <c r="F4764" s="134"/>
      <c r="G4764" s="135" t="s">
        <v>375</v>
      </c>
      <c r="H4764" s="136"/>
      <c r="I4764" s="137">
        <f>SUM(I4760:I4763)</f>
        <v>36000</v>
      </c>
    </row>
    <row r="4765" spans="2:10" ht="15.95" customHeight="1" x14ac:dyDescent="0.25">
      <c r="C4765" s="116" t="s">
        <v>376</v>
      </c>
      <c r="D4765" s="117" t="s">
        <v>377</v>
      </c>
      <c r="E4765" s="118"/>
      <c r="F4765" s="118"/>
      <c r="G4765" s="165"/>
      <c r="H4765" s="144"/>
      <c r="I4765" s="126"/>
    </row>
    <row r="4766" spans="2:10" ht="15.95" customHeight="1" thickBot="1" x14ac:dyDescent="0.3">
      <c r="C4766" s="122"/>
      <c r="D4766" s="117" t="s">
        <v>1134</v>
      </c>
      <c r="E4766" s="118"/>
      <c r="F4766" s="123" t="s">
        <v>159</v>
      </c>
      <c r="G4766" s="124">
        <v>5</v>
      </c>
      <c r="H4766" s="144">
        <f>VLOOKUP(D4766,Bahan,6,FALSE)</f>
        <v>4320</v>
      </c>
      <c r="I4766" s="126">
        <f>G4766*H4766</f>
        <v>21600</v>
      </c>
    </row>
    <row r="4767" spans="2:10" ht="15.95" customHeight="1" thickBot="1" x14ac:dyDescent="0.3">
      <c r="C4767" s="132"/>
      <c r="D4767" s="133"/>
      <c r="E4767" s="134"/>
      <c r="F4767" s="134"/>
      <c r="G4767" s="135" t="s">
        <v>386</v>
      </c>
      <c r="H4767" s="136"/>
      <c r="I4767" s="137">
        <f>SUM(I4765:I4766)</f>
        <v>21600</v>
      </c>
    </row>
    <row r="4768" spans="2:10" ht="15.95" customHeight="1" thickBot="1" x14ac:dyDescent="0.3">
      <c r="C4768" s="116" t="s">
        <v>387</v>
      </c>
      <c r="D4768" s="117" t="s">
        <v>388</v>
      </c>
      <c r="E4768" s="118"/>
      <c r="F4768" s="118"/>
      <c r="G4768" s="165"/>
      <c r="H4768" s="144">
        <f>IF(AND(D4768&lt;&gt;"",F4768&lt;&gt;""),IF(C4768="",IF(F4768="OH",VLOOKUP(D4768,[1]UPAH!$B$3:$G$32,7,0),VLOOKUP(D4768,[1]BAHAN!$A$2:$D$3,4,0)),0),0)</f>
        <v>0</v>
      </c>
      <c r="I4768" s="126">
        <f>G4768*H4768</f>
        <v>0</v>
      </c>
    </row>
    <row r="4769" spans="2:10" ht="15.95" customHeight="1" thickBot="1" x14ac:dyDescent="0.3">
      <c r="C4769" s="132"/>
      <c r="D4769" s="133"/>
      <c r="E4769" s="134"/>
      <c r="F4769" s="134"/>
      <c r="G4769" s="135" t="s">
        <v>389</v>
      </c>
      <c r="H4769" s="136"/>
      <c r="I4769" s="137">
        <f>I4768</f>
        <v>0</v>
      </c>
    </row>
    <row r="4770" spans="2:10" ht="15.95" customHeight="1" x14ac:dyDescent="0.25">
      <c r="C4770" s="158" t="s">
        <v>390</v>
      </c>
      <c r="D4770" s="159" t="s">
        <v>391</v>
      </c>
      <c r="E4770" s="160"/>
      <c r="F4770" s="160"/>
      <c r="G4770" s="161"/>
      <c r="H4770" s="162">
        <f>IF(AND(D4770&lt;&gt;"",F4770&lt;&gt;""),IF(C4770="",IF(F4770="OH",VLOOKUP(D4770,[1]UPAH!$B$3:$G$32,7,0),VLOOKUP(D4770,[1]BAHAN!$A$2:$D$3,4,0)),0),0)</f>
        <v>0</v>
      </c>
      <c r="I4770" s="126">
        <f>SUM(I4759:I4769)/2</f>
        <v>57600</v>
      </c>
    </row>
    <row r="4771" spans="2:10" ht="15.95" customHeight="1" thickBot="1" x14ac:dyDescent="0.3">
      <c r="C4771" s="147" t="s">
        <v>392</v>
      </c>
      <c r="D4771" s="148" t="s">
        <v>393</v>
      </c>
      <c r="E4771" s="149"/>
      <c r="F4771" s="149"/>
      <c r="G4771" s="164">
        <v>0.1</v>
      </c>
      <c r="H4771" s="151"/>
      <c r="I4771" s="146">
        <f>G4771*I4770</f>
        <v>5760</v>
      </c>
    </row>
    <row r="4772" spans="2:10" ht="15.95" customHeight="1" thickBot="1" x14ac:dyDescent="0.3">
      <c r="C4772" s="111" t="s">
        <v>394</v>
      </c>
      <c r="D4772" s="112" t="s">
        <v>395</v>
      </c>
      <c r="E4772" s="134"/>
      <c r="F4772" s="134"/>
      <c r="G4772" s="156"/>
      <c r="H4772" s="136">
        <f>IF(AND(D4772&lt;&gt;"",F4772&lt;&gt;""),IF(C4772="",IF(F4772="OH",VLOOKUP(D4772,[1]UPAH!$B$3:$G$32,7,0),VLOOKUP(D4772,[1]BAHAN!$A$2:$D$3,4,0)),0),0)</f>
        <v>0</v>
      </c>
      <c r="I4772" s="137">
        <f>ROUNDDOWN(I4770+I4771,0)</f>
        <v>63360</v>
      </c>
    </row>
    <row r="4773" spans="2:10" ht="15.95" customHeight="1" x14ac:dyDescent="0.25">
      <c r="C4773" s="109"/>
      <c r="D4773" s="109"/>
      <c r="G4773" s="157"/>
    </row>
    <row r="4774" spans="2:10" ht="15.95" customHeight="1" thickBot="1" x14ac:dyDescent="0.3">
      <c r="B4774" s="109" t="s">
        <v>1135</v>
      </c>
      <c r="C4774" s="104" t="s">
        <v>1136</v>
      </c>
      <c r="G4774" s="157"/>
      <c r="J4774" s="110">
        <f>I4790</f>
        <v>83398</v>
      </c>
    </row>
    <row r="4775" spans="2:10" ht="15.95" customHeight="1" thickBot="1" x14ac:dyDescent="0.3">
      <c r="C4775" s="111" t="s">
        <v>328</v>
      </c>
      <c r="D4775" s="112" t="s">
        <v>359</v>
      </c>
      <c r="E4775" s="113" t="s">
        <v>360</v>
      </c>
      <c r="F4775" s="113" t="s">
        <v>330</v>
      </c>
      <c r="G4775" s="114" t="s">
        <v>361</v>
      </c>
      <c r="H4775" s="112" t="s">
        <v>362</v>
      </c>
      <c r="I4775" s="115" t="s">
        <v>363</v>
      </c>
    </row>
    <row r="4776" spans="2:10" ht="15.95" customHeight="1" x14ac:dyDescent="0.25">
      <c r="C4776" s="116" t="s">
        <v>364</v>
      </c>
      <c r="D4776" s="117" t="s">
        <v>365</v>
      </c>
      <c r="E4776" s="118"/>
      <c r="F4776" s="118"/>
      <c r="G4776" s="165"/>
      <c r="H4776" s="144"/>
      <c r="I4776" s="126"/>
    </row>
    <row r="4777" spans="2:10" ht="15.95" customHeight="1" x14ac:dyDescent="0.25">
      <c r="C4777" s="122"/>
      <c r="D4777" s="117" t="s">
        <v>366</v>
      </c>
      <c r="E4777" s="123" t="s">
        <v>367</v>
      </c>
      <c r="F4777" s="123" t="s">
        <v>368</v>
      </c>
      <c r="G4777" s="124">
        <v>0.08</v>
      </c>
      <c r="H4777" s="125">
        <f>VLOOKUP(D4777,Upah,8,FALSE)</f>
        <v>125000</v>
      </c>
      <c r="I4777" s="126">
        <f>G4777*H4777</f>
        <v>10000</v>
      </c>
    </row>
    <row r="4778" spans="2:10" ht="15.95" customHeight="1" x14ac:dyDescent="0.25">
      <c r="C4778" s="122"/>
      <c r="D4778" s="117" t="s">
        <v>505</v>
      </c>
      <c r="E4778" s="123" t="s">
        <v>414</v>
      </c>
      <c r="F4778" s="123" t="s">
        <v>368</v>
      </c>
      <c r="G4778" s="124">
        <v>0.08</v>
      </c>
      <c r="H4778" s="125">
        <f>VLOOKUP(D4778,Upah,8,FALSE)</f>
        <v>150000</v>
      </c>
      <c r="I4778" s="126">
        <f>G4778*H4778</f>
        <v>12000</v>
      </c>
    </row>
    <row r="4779" spans="2:10" ht="15.95" customHeight="1" x14ac:dyDescent="0.25">
      <c r="C4779" s="122"/>
      <c r="D4779" s="117" t="s">
        <v>429</v>
      </c>
      <c r="E4779" s="123" t="s">
        <v>372</v>
      </c>
      <c r="F4779" s="123" t="s">
        <v>368</v>
      </c>
      <c r="G4779" s="124">
        <v>8.0000000000000002E-3</v>
      </c>
      <c r="H4779" s="125">
        <f>VLOOKUP(D4779,Upah,8,FALSE)</f>
        <v>165000</v>
      </c>
      <c r="I4779" s="126">
        <f>G4779*H4779</f>
        <v>1320</v>
      </c>
    </row>
    <row r="4780" spans="2:10" ht="15.95" customHeight="1" thickBot="1" x14ac:dyDescent="0.3">
      <c r="C4780" s="122"/>
      <c r="D4780" s="117" t="s">
        <v>373</v>
      </c>
      <c r="E4780" s="123" t="s">
        <v>374</v>
      </c>
      <c r="F4780" s="123" t="s">
        <v>368</v>
      </c>
      <c r="G4780" s="124">
        <v>4.0000000000000001E-3</v>
      </c>
      <c r="H4780" s="125">
        <f>VLOOKUP(D4780,Upah,8,FALSE)</f>
        <v>170000</v>
      </c>
      <c r="I4780" s="126">
        <f>G4780*H4780</f>
        <v>680</v>
      </c>
    </row>
    <row r="4781" spans="2:10" ht="15.95" customHeight="1" thickBot="1" x14ac:dyDescent="0.3">
      <c r="C4781" s="132"/>
      <c r="D4781" s="133"/>
      <c r="E4781" s="134"/>
      <c r="F4781" s="134"/>
      <c r="G4781" s="135" t="s">
        <v>375</v>
      </c>
      <c r="H4781" s="136"/>
      <c r="I4781" s="137">
        <f>SUM(I4777:I4780)</f>
        <v>24000</v>
      </c>
    </row>
    <row r="4782" spans="2:10" ht="15.95" customHeight="1" x14ac:dyDescent="0.25">
      <c r="C4782" s="116" t="s">
        <v>376</v>
      </c>
      <c r="D4782" s="117" t="s">
        <v>377</v>
      </c>
      <c r="E4782" s="118"/>
      <c r="F4782" s="118"/>
      <c r="G4782" s="165"/>
      <c r="H4782" s="144"/>
      <c r="I4782" s="126"/>
    </row>
    <row r="4783" spans="2:10" ht="15.95" customHeight="1" x14ac:dyDescent="0.25">
      <c r="C4783" s="122"/>
      <c r="D4783" s="117" t="s">
        <v>1137</v>
      </c>
      <c r="E4783" s="118"/>
      <c r="F4783" s="123" t="s">
        <v>418</v>
      </c>
      <c r="G4783" s="124">
        <v>1.76</v>
      </c>
      <c r="H4783" s="144">
        <f>VLOOKUP(D4783,Bahan,6,FALSE)</f>
        <v>28750</v>
      </c>
      <c r="I4783" s="126">
        <f>G4783*H4783</f>
        <v>50600</v>
      </c>
    </row>
    <row r="4784" spans="2:10" ht="15.95" customHeight="1" thickBot="1" x14ac:dyDescent="0.3">
      <c r="C4784" s="122"/>
      <c r="D4784" s="117" t="s">
        <v>1082</v>
      </c>
      <c r="E4784" s="118"/>
      <c r="F4784" s="123" t="s">
        <v>159</v>
      </c>
      <c r="G4784" s="124">
        <v>0.08</v>
      </c>
      <c r="H4784" s="144">
        <f>VLOOKUP(D4784,Bahan,6,FALSE)</f>
        <v>15210</v>
      </c>
      <c r="I4784" s="126">
        <f>G4784*H4784</f>
        <v>1216.8</v>
      </c>
    </row>
    <row r="4785" spans="2:10" ht="15.95" customHeight="1" thickBot="1" x14ac:dyDescent="0.3">
      <c r="C4785" s="132"/>
      <c r="D4785" s="133"/>
      <c r="E4785" s="134"/>
      <c r="F4785" s="134"/>
      <c r="G4785" s="135" t="s">
        <v>386</v>
      </c>
      <c r="H4785" s="136"/>
      <c r="I4785" s="137">
        <f>SUM(I4783:I4784)</f>
        <v>51816.800000000003</v>
      </c>
    </row>
    <row r="4786" spans="2:10" ht="15.95" customHeight="1" thickBot="1" x14ac:dyDescent="0.3">
      <c r="C4786" s="116" t="s">
        <v>387</v>
      </c>
      <c r="D4786" s="117" t="s">
        <v>388</v>
      </c>
      <c r="E4786" s="118"/>
      <c r="F4786" s="118"/>
      <c r="G4786" s="165"/>
      <c r="H4786" s="144">
        <f>IF(AND(D4786&lt;&gt;"",F4786&lt;&gt;""),IF(C4786="",IF(F4786="OH",VLOOKUP(D4786,[1]UPAH!$B$3:$G$32,7,0),VLOOKUP(D4786,[1]BAHAN!$A$2:$D$3,4,0)),0),0)</f>
        <v>0</v>
      </c>
      <c r="I4786" s="126">
        <f>G4786*H4786</f>
        <v>0</v>
      </c>
    </row>
    <row r="4787" spans="2:10" ht="15.95" customHeight="1" thickBot="1" x14ac:dyDescent="0.3">
      <c r="C4787" s="132"/>
      <c r="D4787" s="133"/>
      <c r="E4787" s="134"/>
      <c r="F4787" s="134"/>
      <c r="G4787" s="135" t="s">
        <v>389</v>
      </c>
      <c r="H4787" s="136"/>
      <c r="I4787" s="137">
        <f>I4786</f>
        <v>0</v>
      </c>
    </row>
    <row r="4788" spans="2:10" ht="15.95" customHeight="1" x14ac:dyDescent="0.25">
      <c r="C4788" s="158" t="s">
        <v>390</v>
      </c>
      <c r="D4788" s="159" t="s">
        <v>391</v>
      </c>
      <c r="E4788" s="160"/>
      <c r="F4788" s="160"/>
      <c r="G4788" s="161"/>
      <c r="H4788" s="162">
        <f>IF(AND(D4788&lt;&gt;"",F4788&lt;&gt;""),IF(C4788="",IF(F4788="OH",VLOOKUP(D4788,[1]UPAH!$B$3:$G$32,7,0),VLOOKUP(D4788,[1]BAHAN!$A$2:$D$3,4,0)),0),0)</f>
        <v>0</v>
      </c>
      <c r="I4788" s="126">
        <f>SUM(I4777:I4787)/2</f>
        <v>75816.800000000003</v>
      </c>
    </row>
    <row r="4789" spans="2:10" ht="15.95" customHeight="1" thickBot="1" x14ac:dyDescent="0.3">
      <c r="C4789" s="147" t="s">
        <v>392</v>
      </c>
      <c r="D4789" s="148" t="s">
        <v>393</v>
      </c>
      <c r="E4789" s="149"/>
      <c r="F4789" s="149"/>
      <c r="G4789" s="164">
        <v>0.1</v>
      </c>
      <c r="H4789" s="151"/>
      <c r="I4789" s="146">
        <f>G4789*I4788</f>
        <v>7581.68</v>
      </c>
    </row>
    <row r="4790" spans="2:10" ht="15.95" customHeight="1" thickBot="1" x14ac:dyDescent="0.3">
      <c r="C4790" s="111" t="s">
        <v>394</v>
      </c>
      <c r="D4790" s="112" t="s">
        <v>395</v>
      </c>
      <c r="E4790" s="134"/>
      <c r="F4790" s="134"/>
      <c r="G4790" s="156"/>
      <c r="H4790" s="136">
        <f>IF(AND(D4790&lt;&gt;"",F4790&lt;&gt;""),IF(C4790="",IF(F4790="OH",VLOOKUP(D4790,[1]UPAH!$B$3:$G$32,7,0),VLOOKUP(D4790,[1]BAHAN!$A$2:$D$3,4,0)),0),0)</f>
        <v>0</v>
      </c>
      <c r="I4790" s="137">
        <f>ROUNDDOWN(I4788+I4789,0)</f>
        <v>83398</v>
      </c>
    </row>
    <row r="4791" spans="2:10" ht="15.95" customHeight="1" x14ac:dyDescent="0.25">
      <c r="C4791" s="109"/>
      <c r="D4791" s="109"/>
      <c r="G4791" s="157"/>
    </row>
    <row r="4792" spans="2:10" ht="15.95" customHeight="1" thickBot="1" x14ac:dyDescent="0.3">
      <c r="B4792" s="109" t="s">
        <v>1138</v>
      </c>
      <c r="C4792" s="104" t="s">
        <v>1139</v>
      </c>
      <c r="G4792" s="157"/>
      <c r="J4792" s="110">
        <f>I4808</f>
        <v>64091</v>
      </c>
    </row>
    <row r="4793" spans="2:10" ht="15.95" customHeight="1" thickBot="1" x14ac:dyDescent="0.3">
      <c r="C4793" s="111" t="s">
        <v>328</v>
      </c>
      <c r="D4793" s="112" t="s">
        <v>359</v>
      </c>
      <c r="E4793" s="113" t="s">
        <v>360</v>
      </c>
      <c r="F4793" s="113" t="s">
        <v>330</v>
      </c>
      <c r="G4793" s="114" t="s">
        <v>361</v>
      </c>
      <c r="H4793" s="112" t="s">
        <v>362</v>
      </c>
      <c r="I4793" s="115" t="s">
        <v>363</v>
      </c>
    </row>
    <row r="4794" spans="2:10" ht="15.95" customHeight="1" x14ac:dyDescent="0.25">
      <c r="C4794" s="116" t="s">
        <v>364</v>
      </c>
      <c r="D4794" s="117" t="s">
        <v>365</v>
      </c>
      <c r="E4794" s="118"/>
      <c r="F4794" s="118"/>
      <c r="G4794" s="165"/>
      <c r="H4794" s="144"/>
      <c r="I4794" s="126"/>
    </row>
    <row r="4795" spans="2:10" ht="15.95" customHeight="1" x14ac:dyDescent="0.25">
      <c r="C4795" s="122"/>
      <c r="D4795" s="117" t="s">
        <v>366</v>
      </c>
      <c r="E4795" s="123" t="s">
        <v>367</v>
      </c>
      <c r="F4795" s="123" t="s">
        <v>368</v>
      </c>
      <c r="G4795" s="124">
        <v>0.12</v>
      </c>
      <c r="H4795" s="125">
        <f>VLOOKUP(D4795,Upah,8,FALSE)</f>
        <v>125000</v>
      </c>
      <c r="I4795" s="126">
        <f>G4795*H4795</f>
        <v>15000</v>
      </c>
    </row>
    <row r="4796" spans="2:10" ht="15.95" customHeight="1" x14ac:dyDescent="0.25">
      <c r="C4796" s="122"/>
      <c r="D4796" s="117" t="s">
        <v>505</v>
      </c>
      <c r="E4796" s="123" t="s">
        <v>414</v>
      </c>
      <c r="F4796" s="123" t="s">
        <v>368</v>
      </c>
      <c r="G4796" s="124">
        <v>0.12</v>
      </c>
      <c r="H4796" s="125">
        <f>VLOOKUP(D4796,Upah,8,FALSE)</f>
        <v>150000</v>
      </c>
      <c r="I4796" s="126">
        <f>G4796*H4796</f>
        <v>18000</v>
      </c>
    </row>
    <row r="4797" spans="2:10" ht="15.95" customHeight="1" x14ac:dyDescent="0.25">
      <c r="C4797" s="122"/>
      <c r="D4797" s="117" t="s">
        <v>429</v>
      </c>
      <c r="E4797" s="123" t="s">
        <v>372</v>
      </c>
      <c r="F4797" s="123" t="s">
        <v>368</v>
      </c>
      <c r="G4797" s="124">
        <v>1.2E-2</v>
      </c>
      <c r="H4797" s="125">
        <f>VLOOKUP(D4797,Upah,8,FALSE)</f>
        <v>165000</v>
      </c>
      <c r="I4797" s="126">
        <f>G4797*H4797</f>
        <v>1980</v>
      </c>
    </row>
    <row r="4798" spans="2:10" ht="15.95" customHeight="1" thickBot="1" x14ac:dyDescent="0.3">
      <c r="C4798" s="122"/>
      <c r="D4798" s="117" t="s">
        <v>373</v>
      </c>
      <c r="E4798" s="123" t="s">
        <v>374</v>
      </c>
      <c r="F4798" s="123" t="s">
        <v>368</v>
      </c>
      <c r="G4798" s="124">
        <v>6.0000000000000001E-3</v>
      </c>
      <c r="H4798" s="125">
        <f>VLOOKUP(D4798,Upah,8,FALSE)</f>
        <v>170000</v>
      </c>
      <c r="I4798" s="126">
        <f>G4798*H4798</f>
        <v>1020</v>
      </c>
    </row>
    <row r="4799" spans="2:10" ht="15.95" customHeight="1" thickBot="1" x14ac:dyDescent="0.3">
      <c r="C4799" s="132"/>
      <c r="D4799" s="133"/>
      <c r="E4799" s="134"/>
      <c r="F4799" s="134"/>
      <c r="G4799" s="135" t="s">
        <v>375</v>
      </c>
      <c r="H4799" s="136"/>
      <c r="I4799" s="137">
        <f>SUM(I4795:I4798)</f>
        <v>36000</v>
      </c>
    </row>
    <row r="4800" spans="2:10" ht="15.95" customHeight="1" x14ac:dyDescent="0.25">
      <c r="C4800" s="116" t="s">
        <v>376</v>
      </c>
      <c r="D4800" s="117" t="s">
        <v>377</v>
      </c>
      <c r="E4800" s="118"/>
      <c r="F4800" s="118"/>
      <c r="G4800" s="165"/>
      <c r="H4800" s="144"/>
      <c r="I4800" s="126"/>
    </row>
    <row r="4801" spans="2:10" ht="15.95" customHeight="1" x14ac:dyDescent="0.25">
      <c r="C4801" s="122"/>
      <c r="D4801" s="117" t="s">
        <v>1140</v>
      </c>
      <c r="E4801" s="118"/>
      <c r="F4801" s="123" t="s">
        <v>489</v>
      </c>
      <c r="G4801" s="124">
        <v>3.0000000000000001E-3</v>
      </c>
      <c r="H4801" s="144">
        <f>VLOOKUP(D4801,Bahan,6,FALSE)</f>
        <v>7407750</v>
      </c>
      <c r="I4801" s="126">
        <f>G4801*H4801</f>
        <v>22223.25</v>
      </c>
    </row>
    <row r="4802" spans="2:10" ht="15.95" customHeight="1" thickBot="1" x14ac:dyDescent="0.3">
      <c r="C4802" s="122"/>
      <c r="D4802" s="117" t="s">
        <v>788</v>
      </c>
      <c r="E4802" s="118"/>
      <c r="F4802" s="123" t="s">
        <v>159</v>
      </c>
      <c r="G4802" s="124">
        <v>0.05</v>
      </c>
      <c r="H4802" s="144">
        <f>VLOOKUP(D4802,Bahan,6,FALSE)</f>
        <v>840</v>
      </c>
      <c r="I4802" s="126">
        <f>G4802*H4802</f>
        <v>42</v>
      </c>
    </row>
    <row r="4803" spans="2:10" ht="15.95" customHeight="1" thickBot="1" x14ac:dyDescent="0.3">
      <c r="C4803" s="132"/>
      <c r="D4803" s="133"/>
      <c r="E4803" s="134"/>
      <c r="F4803" s="134"/>
      <c r="G4803" s="135" t="s">
        <v>386</v>
      </c>
      <c r="H4803" s="136"/>
      <c r="I4803" s="137">
        <f>SUM(I4801:I4802)</f>
        <v>22265.25</v>
      </c>
    </row>
    <row r="4804" spans="2:10" ht="15.95" customHeight="1" thickBot="1" x14ac:dyDescent="0.3">
      <c r="C4804" s="116" t="s">
        <v>387</v>
      </c>
      <c r="D4804" s="117" t="s">
        <v>388</v>
      </c>
      <c r="E4804" s="118"/>
      <c r="F4804" s="118"/>
      <c r="G4804" s="165"/>
      <c r="H4804" s="144">
        <f>IF(AND(D4804&lt;&gt;"",F4804&lt;&gt;""),IF(C4804="",IF(F4804="OH",VLOOKUP(D4804,[1]UPAH!$B$3:$G$32,7,0),VLOOKUP(D4804,[1]BAHAN!$A$2:$D$3,4,0)),0),0)</f>
        <v>0</v>
      </c>
      <c r="I4804" s="126">
        <f>G4804*H4804</f>
        <v>0</v>
      </c>
    </row>
    <row r="4805" spans="2:10" ht="15.95" customHeight="1" thickBot="1" x14ac:dyDescent="0.3">
      <c r="C4805" s="132"/>
      <c r="D4805" s="133"/>
      <c r="E4805" s="134"/>
      <c r="F4805" s="134"/>
      <c r="G4805" s="135" t="s">
        <v>389</v>
      </c>
      <c r="H4805" s="136"/>
      <c r="I4805" s="137">
        <f>I4804</f>
        <v>0</v>
      </c>
    </row>
    <row r="4806" spans="2:10" ht="15.95" customHeight="1" x14ac:dyDescent="0.25">
      <c r="C4806" s="158" t="s">
        <v>390</v>
      </c>
      <c r="D4806" s="159" t="s">
        <v>391</v>
      </c>
      <c r="E4806" s="160"/>
      <c r="F4806" s="160"/>
      <c r="G4806" s="161"/>
      <c r="H4806" s="162">
        <f>IF(AND(D4806&lt;&gt;"",F4806&lt;&gt;""),IF(C4806="",IF(F4806="OH",VLOOKUP(D4806,[1]UPAH!$B$3:$G$32,7,0),VLOOKUP(D4806,[1]BAHAN!$A$2:$D$3,4,0)),0),0)</f>
        <v>0</v>
      </c>
      <c r="I4806" s="126">
        <f>SUM(I4795:I4805)/2</f>
        <v>58265.25</v>
      </c>
    </row>
    <row r="4807" spans="2:10" ht="15.95" customHeight="1" thickBot="1" x14ac:dyDescent="0.3">
      <c r="C4807" s="147" t="s">
        <v>392</v>
      </c>
      <c r="D4807" s="148" t="s">
        <v>393</v>
      </c>
      <c r="E4807" s="149"/>
      <c r="F4807" s="149"/>
      <c r="G4807" s="164">
        <v>0.1</v>
      </c>
      <c r="H4807" s="151"/>
      <c r="I4807" s="146">
        <f>G4807*I4806</f>
        <v>5826.5250000000005</v>
      </c>
    </row>
    <row r="4808" spans="2:10" ht="15.95" customHeight="1" thickBot="1" x14ac:dyDescent="0.3">
      <c r="C4808" s="111" t="s">
        <v>394</v>
      </c>
      <c r="D4808" s="112" t="s">
        <v>395</v>
      </c>
      <c r="E4808" s="134"/>
      <c r="F4808" s="134"/>
      <c r="G4808" s="156"/>
      <c r="H4808" s="136">
        <f>IF(AND(D4808&lt;&gt;"",F4808&lt;&gt;""),IF(C4808="",IF(F4808="OH",VLOOKUP(D4808,[1]UPAH!$B$3:$G$32,7,0),VLOOKUP(D4808,[1]BAHAN!$A$2:$D$3,4,0)),0),0)</f>
        <v>0</v>
      </c>
      <c r="I4808" s="137">
        <f>ROUNDDOWN(I4806+I4807,0)</f>
        <v>64091</v>
      </c>
    </row>
    <row r="4809" spans="2:10" ht="15.95" customHeight="1" x14ac:dyDescent="0.25">
      <c r="C4809" s="109"/>
      <c r="D4809" s="109"/>
      <c r="G4809" s="157"/>
    </row>
    <row r="4810" spans="2:10" ht="15.95" customHeight="1" thickBot="1" x14ac:dyDescent="0.3">
      <c r="B4810" s="104" t="s">
        <v>1141</v>
      </c>
      <c r="C4810" s="104" t="s">
        <v>1142</v>
      </c>
      <c r="D4810" s="109"/>
      <c r="G4810" s="157"/>
      <c r="J4810" s="110">
        <f>I4827</f>
        <v>291536</v>
      </c>
    </row>
    <row r="4811" spans="2:10" ht="15.95" customHeight="1" thickBot="1" x14ac:dyDescent="0.3">
      <c r="C4811" s="111" t="s">
        <v>328</v>
      </c>
      <c r="D4811" s="112" t="s">
        <v>359</v>
      </c>
      <c r="E4811" s="113" t="s">
        <v>360</v>
      </c>
      <c r="F4811" s="113" t="s">
        <v>330</v>
      </c>
      <c r="G4811" s="114" t="s">
        <v>361</v>
      </c>
      <c r="H4811" s="112" t="s">
        <v>362</v>
      </c>
      <c r="I4811" s="115" t="s">
        <v>363</v>
      </c>
    </row>
    <row r="4812" spans="2:10" ht="15.95" customHeight="1" x14ac:dyDescent="0.25">
      <c r="C4812" s="138" t="s">
        <v>364</v>
      </c>
      <c r="D4812" s="139" t="s">
        <v>365</v>
      </c>
      <c r="E4812" s="140"/>
      <c r="F4812" s="140"/>
      <c r="G4812" s="141"/>
      <c r="H4812" s="142"/>
      <c r="I4812" s="143"/>
    </row>
    <row r="4813" spans="2:10" ht="15.95" customHeight="1" x14ac:dyDescent="0.25">
      <c r="C4813" s="122"/>
      <c r="D4813" s="117" t="s">
        <v>366</v>
      </c>
      <c r="E4813" s="123" t="s">
        <v>367</v>
      </c>
      <c r="F4813" s="123" t="s">
        <v>368</v>
      </c>
      <c r="G4813" s="217">
        <v>0.25</v>
      </c>
      <c r="H4813" s="125">
        <f>VLOOKUP(D4813,Upah,8,FALSE)</f>
        <v>125000</v>
      </c>
      <c r="I4813" s="126">
        <f>G4813*H4813</f>
        <v>31250</v>
      </c>
    </row>
    <row r="4814" spans="2:10" ht="15.95" customHeight="1" x14ac:dyDescent="0.25">
      <c r="C4814" s="122"/>
      <c r="D4814" s="117" t="s">
        <v>369</v>
      </c>
      <c r="E4814" s="123" t="s">
        <v>370</v>
      </c>
      <c r="F4814" s="123" t="s">
        <v>368</v>
      </c>
      <c r="G4814" s="217">
        <v>0.25</v>
      </c>
      <c r="H4814" s="125">
        <f>VLOOKUP(D4814,Upah,8,FALSE)</f>
        <v>150000</v>
      </c>
      <c r="I4814" s="126">
        <f>G4814*H4814</f>
        <v>37500</v>
      </c>
    </row>
    <row r="4815" spans="2:10" ht="15.95" customHeight="1" x14ac:dyDescent="0.25">
      <c r="C4815" s="122"/>
      <c r="D4815" s="117" t="s">
        <v>429</v>
      </c>
      <c r="E4815" s="123" t="s">
        <v>372</v>
      </c>
      <c r="F4815" s="123" t="s">
        <v>368</v>
      </c>
      <c r="G4815" s="217">
        <v>2.5000000000000001E-2</v>
      </c>
      <c r="H4815" s="125">
        <f>VLOOKUP(D4815,Upah,8,FALSE)</f>
        <v>165000</v>
      </c>
      <c r="I4815" s="126">
        <f>G4815*H4815</f>
        <v>4125</v>
      </c>
    </row>
    <row r="4816" spans="2:10" ht="15.95" customHeight="1" thickBot="1" x14ac:dyDescent="0.3">
      <c r="C4816" s="127"/>
      <c r="D4816" s="128" t="s">
        <v>373</v>
      </c>
      <c r="E4816" s="129" t="s">
        <v>374</v>
      </c>
      <c r="F4816" s="129" t="s">
        <v>368</v>
      </c>
      <c r="G4816" s="218">
        <v>2.5000000000000001E-3</v>
      </c>
      <c r="H4816" s="125">
        <f>VLOOKUP(D4816,Upah,8,FALSE)</f>
        <v>170000</v>
      </c>
      <c r="I4816" s="146">
        <f>G4816*H4816</f>
        <v>425</v>
      </c>
    </row>
    <row r="4817" spans="2:10" ht="15.95" customHeight="1" thickBot="1" x14ac:dyDescent="0.3">
      <c r="C4817" s="132"/>
      <c r="D4817" s="133"/>
      <c r="E4817" s="134"/>
      <c r="F4817" s="134"/>
      <c r="G4817" s="135" t="s">
        <v>375</v>
      </c>
      <c r="H4817" s="136"/>
      <c r="I4817" s="137">
        <f>SUM(I4813:I4816)</f>
        <v>73300</v>
      </c>
    </row>
    <row r="4818" spans="2:10" ht="15.95" customHeight="1" x14ac:dyDescent="0.25">
      <c r="C4818" s="138" t="s">
        <v>376</v>
      </c>
      <c r="D4818" s="139" t="s">
        <v>377</v>
      </c>
      <c r="E4818" s="140"/>
      <c r="F4818" s="140"/>
      <c r="G4818" s="141"/>
      <c r="H4818" s="142"/>
      <c r="I4818" s="143"/>
    </row>
    <row r="4819" spans="2:10" ht="15.95" customHeight="1" x14ac:dyDescent="0.25">
      <c r="C4819" s="122"/>
      <c r="D4819" s="219" t="s">
        <v>1143</v>
      </c>
      <c r="E4819" s="118"/>
      <c r="F4819" s="185" t="s">
        <v>1144</v>
      </c>
      <c r="G4819" s="124">
        <v>1.01</v>
      </c>
      <c r="H4819" s="144">
        <f>VLOOKUP(D4819,Bahan,6,FALSE)</f>
        <v>155250</v>
      </c>
      <c r="I4819" s="126">
        <f>G4819*H4819</f>
        <v>156802.5</v>
      </c>
    </row>
    <row r="4820" spans="2:10" ht="15.95" customHeight="1" thickBot="1" x14ac:dyDescent="0.3">
      <c r="C4820" s="127"/>
      <c r="D4820" s="191" t="s">
        <v>1919</v>
      </c>
      <c r="E4820" s="145"/>
      <c r="F4820" s="189" t="s">
        <v>1145</v>
      </c>
      <c r="G4820" s="130">
        <v>0.05</v>
      </c>
      <c r="H4820" s="144">
        <f>VLOOKUP(D4820,Bahan,6,FALSE)</f>
        <v>350000</v>
      </c>
      <c r="I4820" s="146">
        <f>G4820*H4820</f>
        <v>17500</v>
      </c>
    </row>
    <row r="4821" spans="2:10" ht="15.95" customHeight="1" thickBot="1" x14ac:dyDescent="0.3">
      <c r="C4821" s="132"/>
      <c r="D4821" s="133"/>
      <c r="E4821" s="134"/>
      <c r="F4821" s="134"/>
      <c r="G4821" s="135" t="s">
        <v>386</v>
      </c>
      <c r="H4821" s="136"/>
      <c r="I4821" s="137">
        <f>SUM(I4819:I4820)</f>
        <v>174302.5</v>
      </c>
    </row>
    <row r="4822" spans="2:10" ht="15.95" customHeight="1" x14ac:dyDescent="0.25">
      <c r="C4822" s="138" t="s">
        <v>387</v>
      </c>
      <c r="D4822" s="139" t="s">
        <v>388</v>
      </c>
      <c r="E4822" s="140"/>
      <c r="F4822" s="140"/>
      <c r="G4822" s="141"/>
      <c r="H4822" s="142">
        <f>IF(AND(D4822&lt;&gt;"",F4822&lt;&gt;""),IF(C4822="",IF(F4822="OH",VLOOKUP(D4822,[1]UPAH!$B$3:$G$32,7,0),VLOOKUP(D4822,[1]BAHAN!$A$2:$D$3,4,0)),0),0)</f>
        <v>0</v>
      </c>
      <c r="I4822" s="143"/>
    </row>
    <row r="4823" spans="2:10" ht="15.95" customHeight="1" thickBot="1" x14ac:dyDescent="0.3">
      <c r="C4823" s="153"/>
      <c r="D4823" s="128" t="s">
        <v>1146</v>
      </c>
      <c r="E4823" s="145"/>
      <c r="F4823" s="145" t="s">
        <v>1147</v>
      </c>
      <c r="G4823" s="235">
        <v>0.1</v>
      </c>
      <c r="H4823" s="155">
        <f>I4821</f>
        <v>174302.5</v>
      </c>
      <c r="I4823" s="146">
        <f>G4823*H4823</f>
        <v>17430.25</v>
      </c>
    </row>
    <row r="4824" spans="2:10" ht="15.95" customHeight="1" thickBot="1" x14ac:dyDescent="0.3">
      <c r="C4824" s="132"/>
      <c r="D4824" s="133"/>
      <c r="E4824" s="134"/>
      <c r="F4824" s="134"/>
      <c r="G4824" s="135" t="s">
        <v>389</v>
      </c>
      <c r="H4824" s="136"/>
      <c r="I4824" s="137">
        <f>I4823</f>
        <v>17430.25</v>
      </c>
    </row>
    <row r="4825" spans="2:10" ht="15.95" customHeight="1" x14ac:dyDescent="0.25">
      <c r="C4825" s="138" t="s">
        <v>390</v>
      </c>
      <c r="D4825" s="139" t="s">
        <v>391</v>
      </c>
      <c r="E4825" s="140"/>
      <c r="F4825" s="140"/>
      <c r="G4825" s="141"/>
      <c r="H4825" s="142">
        <f>IF(AND(D4825&lt;&gt;"",F4825&lt;&gt;""),IF(C4825="",IF(F4825="OH",VLOOKUP(D4825,[1]UPAH!$B$3:$G$32,7,0),VLOOKUP(D4825,[1]BAHAN!$A$2:$D$3,4,0)),0),0)</f>
        <v>0</v>
      </c>
      <c r="I4825" s="143">
        <f>SUM(I4813:I4824)/2</f>
        <v>265032.75</v>
      </c>
    </row>
    <row r="4826" spans="2:10" ht="15.95" customHeight="1" x14ac:dyDescent="0.25">
      <c r="C4826" s="116" t="s">
        <v>392</v>
      </c>
      <c r="D4826" s="117" t="s">
        <v>393</v>
      </c>
      <c r="E4826" s="118"/>
      <c r="F4826" s="118"/>
      <c r="G4826" s="236">
        <v>0.1</v>
      </c>
      <c r="H4826" s="144"/>
      <c r="I4826" s="126">
        <f>G4826*I4825</f>
        <v>26503.275000000001</v>
      </c>
    </row>
    <row r="4827" spans="2:10" ht="15.95" customHeight="1" thickBot="1" x14ac:dyDescent="0.3">
      <c r="C4827" s="237" t="s">
        <v>394</v>
      </c>
      <c r="D4827" s="178" t="s">
        <v>395</v>
      </c>
      <c r="E4827" s="179"/>
      <c r="F4827" s="179"/>
      <c r="G4827" s="238"/>
      <c r="H4827" s="228">
        <f>IF(AND(D4827&lt;&gt;"",F4827&lt;&gt;""),IF(C4827="",IF(F4827="OH",VLOOKUP(D4827,[1]UPAH!$B$3:$G$32,7,0),VLOOKUP(D4827,[1]BAHAN!$A$2:$D$3,4,0)),0),0)</f>
        <v>0</v>
      </c>
      <c r="I4827" s="182">
        <f>ROUNDDOWN(I4825+I4826,0)</f>
        <v>291536</v>
      </c>
    </row>
    <row r="4828" spans="2:10" ht="15.95" customHeight="1" x14ac:dyDescent="0.25">
      <c r="D4828" s="109"/>
      <c r="G4828" s="157"/>
    </row>
    <row r="4829" spans="2:10" ht="15.95" customHeight="1" thickBot="1" x14ac:dyDescent="0.3">
      <c r="B4829" s="174" t="s">
        <v>1148</v>
      </c>
      <c r="C4829" s="104" t="s">
        <v>1149</v>
      </c>
      <c r="D4829" s="109"/>
      <c r="G4829" s="157"/>
      <c r="J4829" s="110">
        <f>I4846</f>
        <v>115041</v>
      </c>
    </row>
    <row r="4830" spans="2:10" ht="15.95" customHeight="1" thickBot="1" x14ac:dyDescent="0.3">
      <c r="C4830" s="111" t="s">
        <v>328</v>
      </c>
      <c r="D4830" s="112" t="s">
        <v>359</v>
      </c>
      <c r="E4830" s="113" t="s">
        <v>360</v>
      </c>
      <c r="F4830" s="113" t="s">
        <v>330</v>
      </c>
      <c r="G4830" s="114" t="s">
        <v>361</v>
      </c>
      <c r="H4830" s="112" t="s">
        <v>362</v>
      </c>
      <c r="I4830" s="115" t="s">
        <v>363</v>
      </c>
    </row>
    <row r="4831" spans="2:10" ht="15.95" customHeight="1" x14ac:dyDescent="0.25">
      <c r="C4831" s="138" t="s">
        <v>364</v>
      </c>
      <c r="D4831" s="139" t="s">
        <v>365</v>
      </c>
      <c r="E4831" s="140"/>
      <c r="F4831" s="140"/>
      <c r="G4831" s="141"/>
      <c r="H4831" s="142"/>
      <c r="I4831" s="143"/>
    </row>
    <row r="4832" spans="2:10" ht="15.95" customHeight="1" x14ac:dyDescent="0.25">
      <c r="C4832" s="122"/>
      <c r="D4832" s="117" t="s">
        <v>366</v>
      </c>
      <c r="E4832" s="123" t="s">
        <v>367</v>
      </c>
      <c r="F4832" s="123" t="s">
        <v>368</v>
      </c>
      <c r="G4832" s="217">
        <v>0.25</v>
      </c>
      <c r="H4832" s="125">
        <f>VLOOKUP(D4832,Upah,8,FALSE)</f>
        <v>125000</v>
      </c>
      <c r="I4832" s="126">
        <f>G4832*H4832</f>
        <v>31250</v>
      </c>
    </row>
    <row r="4833" spans="2:10" ht="15.95" customHeight="1" x14ac:dyDescent="0.25">
      <c r="C4833" s="122"/>
      <c r="D4833" s="117" t="s">
        <v>369</v>
      </c>
      <c r="E4833" s="123" t="s">
        <v>370</v>
      </c>
      <c r="F4833" s="123" t="s">
        <v>368</v>
      </c>
      <c r="G4833" s="217">
        <v>0.25</v>
      </c>
      <c r="H4833" s="125">
        <f>VLOOKUP(D4833,Upah,8,FALSE)</f>
        <v>150000</v>
      </c>
      <c r="I4833" s="126">
        <f>G4833*H4833</f>
        <v>37500</v>
      </c>
    </row>
    <row r="4834" spans="2:10" ht="15.95" customHeight="1" x14ac:dyDescent="0.25">
      <c r="C4834" s="122"/>
      <c r="D4834" s="117" t="s">
        <v>429</v>
      </c>
      <c r="E4834" s="123" t="s">
        <v>372</v>
      </c>
      <c r="F4834" s="123" t="s">
        <v>368</v>
      </c>
      <c r="G4834" s="217">
        <v>2.5000000000000001E-2</v>
      </c>
      <c r="H4834" s="125">
        <f>VLOOKUP(D4834,Upah,8,FALSE)</f>
        <v>165000</v>
      </c>
      <c r="I4834" s="126">
        <f>G4834*H4834</f>
        <v>4125</v>
      </c>
    </row>
    <row r="4835" spans="2:10" ht="15.95" customHeight="1" thickBot="1" x14ac:dyDescent="0.3">
      <c r="C4835" s="127"/>
      <c r="D4835" s="128" t="s">
        <v>373</v>
      </c>
      <c r="E4835" s="129" t="s">
        <v>374</v>
      </c>
      <c r="F4835" s="129" t="s">
        <v>368</v>
      </c>
      <c r="G4835" s="218">
        <v>2.5000000000000001E-3</v>
      </c>
      <c r="H4835" s="125">
        <f>VLOOKUP(D4835,Upah,8,FALSE)</f>
        <v>170000</v>
      </c>
      <c r="I4835" s="146">
        <f>G4835*H4835</f>
        <v>425</v>
      </c>
    </row>
    <row r="4836" spans="2:10" ht="15.95" customHeight="1" thickBot="1" x14ac:dyDescent="0.3">
      <c r="C4836" s="132"/>
      <c r="D4836" s="133"/>
      <c r="E4836" s="134"/>
      <c r="F4836" s="134"/>
      <c r="G4836" s="135" t="s">
        <v>375</v>
      </c>
      <c r="H4836" s="136"/>
      <c r="I4836" s="137">
        <f>SUM(I4832:I4835)</f>
        <v>73300</v>
      </c>
    </row>
    <row r="4837" spans="2:10" ht="15.95" customHeight="1" x14ac:dyDescent="0.25">
      <c r="C4837" s="138" t="s">
        <v>376</v>
      </c>
      <c r="D4837" s="139" t="s">
        <v>377</v>
      </c>
      <c r="E4837" s="140"/>
      <c r="F4837" s="140"/>
      <c r="G4837" s="141"/>
      <c r="H4837" s="142"/>
      <c r="I4837" s="143"/>
    </row>
    <row r="4838" spans="2:10" ht="15.95" customHeight="1" x14ac:dyDescent="0.25">
      <c r="C4838" s="122"/>
      <c r="D4838" s="219" t="s">
        <v>1150</v>
      </c>
      <c r="E4838" s="118"/>
      <c r="F4838" s="185" t="s">
        <v>1144</v>
      </c>
      <c r="G4838" s="186">
        <v>1.01</v>
      </c>
      <c r="H4838" s="144">
        <f>VLOOKUP(D4838,Bahan,6,FALSE)</f>
        <v>3900</v>
      </c>
      <c r="I4838" s="126">
        <f>G4838*H4838</f>
        <v>3939</v>
      </c>
    </row>
    <row r="4839" spans="2:10" ht="15.95" customHeight="1" thickBot="1" x14ac:dyDescent="0.3">
      <c r="C4839" s="127"/>
      <c r="D4839" s="191" t="s">
        <v>1919</v>
      </c>
      <c r="E4839" s="145"/>
      <c r="F4839" s="189" t="s">
        <v>1145</v>
      </c>
      <c r="G4839" s="190">
        <v>7.0000000000000007E-2</v>
      </c>
      <c r="H4839" s="144">
        <f>VLOOKUP(D4839,Bahan,6,FALSE)</f>
        <v>350000</v>
      </c>
      <c r="I4839" s="146">
        <f>G4839*H4839</f>
        <v>24500.000000000004</v>
      </c>
    </row>
    <row r="4840" spans="2:10" ht="15.95" customHeight="1" thickBot="1" x14ac:dyDescent="0.3">
      <c r="C4840" s="132"/>
      <c r="D4840" s="133"/>
      <c r="E4840" s="134"/>
      <c r="F4840" s="134"/>
      <c r="G4840" s="135" t="s">
        <v>386</v>
      </c>
      <c r="H4840" s="136"/>
      <c r="I4840" s="137">
        <f>SUM(I4838:I4839)</f>
        <v>28439.000000000004</v>
      </c>
    </row>
    <row r="4841" spans="2:10" ht="15.95" customHeight="1" x14ac:dyDescent="0.25">
      <c r="C4841" s="138" t="s">
        <v>387</v>
      </c>
      <c r="D4841" s="139" t="s">
        <v>388</v>
      </c>
      <c r="E4841" s="140"/>
      <c r="F4841" s="140"/>
      <c r="G4841" s="141"/>
      <c r="H4841" s="142">
        <f>IF(AND(D4841&lt;&gt;"",F4841&lt;&gt;""),IF(C4841="",IF(F4841="OH",VLOOKUP(D4841,[1]UPAH!$B$3:$G$32,7,0),VLOOKUP(D4841,[1]BAHAN!$A$2:$D$3,4,0)),0),0)</f>
        <v>0</v>
      </c>
      <c r="I4841" s="143"/>
    </row>
    <row r="4842" spans="2:10" ht="15.95" customHeight="1" thickBot="1" x14ac:dyDescent="0.3">
      <c r="C4842" s="153"/>
      <c r="D4842" s="128" t="s">
        <v>1146</v>
      </c>
      <c r="E4842" s="145"/>
      <c r="F4842" s="145" t="s">
        <v>1147</v>
      </c>
      <c r="G4842" s="235">
        <v>0.1</v>
      </c>
      <c r="H4842" s="155">
        <f>I4840</f>
        <v>28439.000000000004</v>
      </c>
      <c r="I4842" s="146">
        <f>G4842*H4842</f>
        <v>2843.9000000000005</v>
      </c>
    </row>
    <row r="4843" spans="2:10" ht="15.95" customHeight="1" thickBot="1" x14ac:dyDescent="0.3">
      <c r="C4843" s="132"/>
      <c r="D4843" s="133"/>
      <c r="E4843" s="134"/>
      <c r="F4843" s="134"/>
      <c r="G4843" s="135" t="s">
        <v>389</v>
      </c>
      <c r="H4843" s="136"/>
      <c r="I4843" s="137">
        <f>I4842</f>
        <v>2843.9000000000005</v>
      </c>
    </row>
    <row r="4844" spans="2:10" ht="15.95" customHeight="1" x14ac:dyDescent="0.25">
      <c r="C4844" s="138" t="s">
        <v>390</v>
      </c>
      <c r="D4844" s="139" t="s">
        <v>391</v>
      </c>
      <c r="E4844" s="140"/>
      <c r="F4844" s="140"/>
      <c r="G4844" s="141"/>
      <c r="H4844" s="142">
        <f>IF(AND(D4844&lt;&gt;"",F4844&lt;&gt;""),IF(C4844="",IF(F4844="OH",VLOOKUP(D4844,[1]UPAH!$B$3:$G$32,7,0),VLOOKUP(D4844,[1]BAHAN!$A$2:$D$3,4,0)),0),0)</f>
        <v>0</v>
      </c>
      <c r="I4844" s="143">
        <f>SUM(I4832:I4843)/2</f>
        <v>104582.9</v>
      </c>
    </row>
    <row r="4845" spans="2:10" ht="15.95" customHeight="1" x14ac:dyDescent="0.25">
      <c r="C4845" s="116" t="s">
        <v>392</v>
      </c>
      <c r="D4845" s="117" t="s">
        <v>393</v>
      </c>
      <c r="E4845" s="118"/>
      <c r="F4845" s="118"/>
      <c r="G4845" s="236">
        <v>0.1</v>
      </c>
      <c r="H4845" s="144"/>
      <c r="I4845" s="126">
        <f>G4845*I4844</f>
        <v>10458.290000000001</v>
      </c>
    </row>
    <row r="4846" spans="2:10" ht="15.95" customHeight="1" thickBot="1" x14ac:dyDescent="0.3">
      <c r="C4846" s="237" t="s">
        <v>394</v>
      </c>
      <c r="D4846" s="178" t="s">
        <v>395</v>
      </c>
      <c r="E4846" s="179"/>
      <c r="F4846" s="179"/>
      <c r="G4846" s="238"/>
      <c r="H4846" s="228">
        <f>IF(AND(D4846&lt;&gt;"",F4846&lt;&gt;""),IF(C4846="",IF(F4846="OH",VLOOKUP(D4846,[1]UPAH!$B$3:$G$32,7,0),VLOOKUP(D4846,[1]BAHAN!$A$2:$D$3,4,0)),0),0)</f>
        <v>0</v>
      </c>
      <c r="I4846" s="182">
        <f>ROUNDDOWN(I4844+I4845,0)</f>
        <v>115041</v>
      </c>
    </row>
    <row r="4847" spans="2:10" ht="15.95" customHeight="1" x14ac:dyDescent="0.25">
      <c r="D4847" s="109"/>
      <c r="G4847" s="157"/>
    </row>
    <row r="4848" spans="2:10" ht="15.95" customHeight="1" thickBot="1" x14ac:dyDescent="0.3">
      <c r="B4848" s="174" t="s">
        <v>1151</v>
      </c>
      <c r="C4848" s="104" t="s">
        <v>1152</v>
      </c>
      <c r="D4848" s="109"/>
      <c r="G4848" s="157"/>
      <c r="J4848" s="110">
        <f>I4865</f>
        <v>303573</v>
      </c>
    </row>
    <row r="4849" spans="3:9" ht="15.95" customHeight="1" thickBot="1" x14ac:dyDescent="0.3">
      <c r="C4849" s="111" t="s">
        <v>328</v>
      </c>
      <c r="D4849" s="112" t="s">
        <v>359</v>
      </c>
      <c r="E4849" s="113" t="s">
        <v>360</v>
      </c>
      <c r="F4849" s="113" t="s">
        <v>330</v>
      </c>
      <c r="G4849" s="114" t="s">
        <v>361</v>
      </c>
      <c r="H4849" s="112" t="s">
        <v>362</v>
      </c>
      <c r="I4849" s="115" t="s">
        <v>363</v>
      </c>
    </row>
    <row r="4850" spans="3:9" ht="15.95" customHeight="1" x14ac:dyDescent="0.25">
      <c r="C4850" s="116" t="s">
        <v>364</v>
      </c>
      <c r="D4850" s="117" t="s">
        <v>365</v>
      </c>
      <c r="E4850" s="118"/>
      <c r="F4850" s="118"/>
      <c r="G4850" s="165"/>
      <c r="H4850" s="144"/>
      <c r="I4850" s="126"/>
    </row>
    <row r="4851" spans="3:9" ht="15.95" customHeight="1" x14ac:dyDescent="0.25">
      <c r="C4851" s="122"/>
      <c r="D4851" s="117" t="s">
        <v>366</v>
      </c>
      <c r="E4851" s="123" t="s">
        <v>367</v>
      </c>
      <c r="F4851" s="123" t="s">
        <v>368</v>
      </c>
      <c r="G4851" s="217">
        <v>0.25</v>
      </c>
      <c r="H4851" s="125">
        <f>VLOOKUP(D4851,Upah,8,FALSE)</f>
        <v>125000</v>
      </c>
      <c r="I4851" s="126">
        <f>G4851*H4851</f>
        <v>31250</v>
      </c>
    </row>
    <row r="4852" spans="3:9" ht="15.95" customHeight="1" x14ac:dyDescent="0.25">
      <c r="C4852" s="122"/>
      <c r="D4852" s="117" t="s">
        <v>369</v>
      </c>
      <c r="E4852" s="123" t="s">
        <v>370</v>
      </c>
      <c r="F4852" s="123" t="s">
        <v>368</v>
      </c>
      <c r="G4852" s="217">
        <v>0.25</v>
      </c>
      <c r="H4852" s="125">
        <f>VLOOKUP(D4852,Upah,8,FALSE)</f>
        <v>150000</v>
      </c>
      <c r="I4852" s="126">
        <f>G4852*H4852</f>
        <v>37500</v>
      </c>
    </row>
    <row r="4853" spans="3:9" ht="15.95" customHeight="1" x14ac:dyDescent="0.25">
      <c r="C4853" s="122"/>
      <c r="D4853" s="117" t="s">
        <v>429</v>
      </c>
      <c r="E4853" s="123" t="s">
        <v>372</v>
      </c>
      <c r="F4853" s="123" t="s">
        <v>368</v>
      </c>
      <c r="G4853" s="217">
        <v>2.5000000000000001E-2</v>
      </c>
      <c r="H4853" s="125">
        <f>VLOOKUP(D4853,Upah,8,FALSE)</f>
        <v>165000</v>
      </c>
      <c r="I4853" s="126">
        <f>G4853*H4853</f>
        <v>4125</v>
      </c>
    </row>
    <row r="4854" spans="3:9" ht="15.95" customHeight="1" thickBot="1" x14ac:dyDescent="0.3">
      <c r="C4854" s="122"/>
      <c r="D4854" s="117" t="s">
        <v>373</v>
      </c>
      <c r="E4854" s="123" t="s">
        <v>374</v>
      </c>
      <c r="F4854" s="123" t="s">
        <v>368</v>
      </c>
      <c r="G4854" s="218">
        <v>2.5000000000000001E-3</v>
      </c>
      <c r="H4854" s="125">
        <f>VLOOKUP(D4854,Upah,8,FALSE)</f>
        <v>170000</v>
      </c>
      <c r="I4854" s="126">
        <f>G4854*H4854</f>
        <v>425</v>
      </c>
    </row>
    <row r="4855" spans="3:9" ht="15.95" customHeight="1" thickBot="1" x14ac:dyDescent="0.3">
      <c r="C4855" s="132"/>
      <c r="D4855" s="133"/>
      <c r="E4855" s="134"/>
      <c r="F4855" s="134"/>
      <c r="G4855" s="135" t="s">
        <v>375</v>
      </c>
      <c r="H4855" s="136"/>
      <c r="I4855" s="137">
        <f>SUM(I4851:I4854)</f>
        <v>73300</v>
      </c>
    </row>
    <row r="4856" spans="3:9" ht="15.95" customHeight="1" x14ac:dyDescent="0.25">
      <c r="C4856" s="116" t="s">
        <v>376</v>
      </c>
      <c r="D4856" s="117" t="s">
        <v>377</v>
      </c>
      <c r="E4856" s="118"/>
      <c r="F4856" s="118"/>
      <c r="G4856" s="165"/>
      <c r="H4856" s="144"/>
      <c r="I4856" s="126"/>
    </row>
    <row r="4857" spans="3:9" ht="15.95" customHeight="1" x14ac:dyDescent="0.25">
      <c r="C4857" s="122"/>
      <c r="D4857" s="219" t="s">
        <v>1153</v>
      </c>
      <c r="E4857" s="118"/>
      <c r="F4857" s="185" t="s">
        <v>1144</v>
      </c>
      <c r="G4857" s="124">
        <v>1.01</v>
      </c>
      <c r="H4857" s="144">
        <f>VLOOKUP(D4857,Bahan,6,FALSE)</f>
        <v>165100</v>
      </c>
      <c r="I4857" s="126">
        <f>G4857*H4857</f>
        <v>166751</v>
      </c>
    </row>
    <row r="4858" spans="3:9" ht="15.95" customHeight="1" thickBot="1" x14ac:dyDescent="0.3">
      <c r="C4858" s="127"/>
      <c r="D4858" s="191" t="s">
        <v>1919</v>
      </c>
      <c r="E4858" s="145"/>
      <c r="F4858" s="189" t="s">
        <v>1145</v>
      </c>
      <c r="G4858" s="130">
        <v>0.05</v>
      </c>
      <c r="H4858" s="144">
        <f>VLOOKUP(D4858,Bahan,6,FALSE)</f>
        <v>350000</v>
      </c>
      <c r="I4858" s="146">
        <f>G4858*H4858</f>
        <v>17500</v>
      </c>
    </row>
    <row r="4859" spans="3:9" ht="15.95" customHeight="1" thickBot="1" x14ac:dyDescent="0.3">
      <c r="C4859" s="132"/>
      <c r="D4859" s="133"/>
      <c r="E4859" s="134"/>
      <c r="F4859" s="134"/>
      <c r="G4859" s="135" t="s">
        <v>386</v>
      </c>
      <c r="H4859" s="136"/>
      <c r="I4859" s="137">
        <f>SUM(I4857:I4858)</f>
        <v>184251</v>
      </c>
    </row>
    <row r="4860" spans="3:9" ht="15.95" customHeight="1" x14ac:dyDescent="0.25">
      <c r="C4860" s="116" t="s">
        <v>387</v>
      </c>
      <c r="D4860" s="117" t="s">
        <v>388</v>
      </c>
      <c r="E4860" s="118"/>
      <c r="F4860" s="118"/>
      <c r="G4860" s="165"/>
      <c r="H4860" s="144">
        <f>IF(AND(D4860&lt;&gt;"",F4860&lt;&gt;""),IF(C4860="",IF(F4860="OH",VLOOKUP(D4860,[1]UPAH!$B$3:$G$32,7,0),VLOOKUP(D4860,[1]BAHAN!$A$2:$D$3,4,0)),0),0)</f>
        <v>0</v>
      </c>
      <c r="I4860" s="126"/>
    </row>
    <row r="4861" spans="3:9" ht="15.95" customHeight="1" thickBot="1" x14ac:dyDescent="0.3">
      <c r="C4861" s="147"/>
      <c r="D4861" s="148" t="s">
        <v>1146</v>
      </c>
      <c r="E4861" s="149"/>
      <c r="F4861" s="149" t="s">
        <v>1147</v>
      </c>
      <c r="G4861" s="150">
        <v>0.1</v>
      </c>
      <c r="H4861" s="144">
        <f>I4859</f>
        <v>184251</v>
      </c>
      <c r="I4861" s="152">
        <f>G4861*H4861</f>
        <v>18425.100000000002</v>
      </c>
    </row>
    <row r="4862" spans="3:9" ht="15.95" customHeight="1" thickBot="1" x14ac:dyDescent="0.3">
      <c r="C4862" s="132"/>
      <c r="D4862" s="133"/>
      <c r="E4862" s="134"/>
      <c r="F4862" s="134"/>
      <c r="G4862" s="135" t="s">
        <v>389</v>
      </c>
      <c r="H4862" s="136"/>
      <c r="I4862" s="137">
        <f>I4861</f>
        <v>18425.100000000002</v>
      </c>
    </row>
    <row r="4863" spans="3:9" ht="15.95" customHeight="1" x14ac:dyDescent="0.25">
      <c r="C4863" s="158" t="s">
        <v>390</v>
      </c>
      <c r="D4863" s="159" t="s">
        <v>391</v>
      </c>
      <c r="E4863" s="160"/>
      <c r="F4863" s="160"/>
      <c r="G4863" s="161"/>
      <c r="H4863" s="162">
        <f>IF(AND(D4863&lt;&gt;"",F4863&lt;&gt;""),IF(C4863="",IF(F4863="OH",VLOOKUP(D4863,[1]UPAH!$B$3:$G$32,7,0),VLOOKUP(D4863,[1]BAHAN!$A$2:$D$3,4,0)),0),0)</f>
        <v>0</v>
      </c>
      <c r="I4863" s="126">
        <f>SUM(I4851:I4862)/2</f>
        <v>275976.09999999998</v>
      </c>
    </row>
    <row r="4864" spans="3:9" ht="15.95" customHeight="1" thickBot="1" x14ac:dyDescent="0.3">
      <c r="C4864" s="147" t="s">
        <v>392</v>
      </c>
      <c r="D4864" s="148" t="s">
        <v>393</v>
      </c>
      <c r="E4864" s="149"/>
      <c r="F4864" s="149"/>
      <c r="G4864" s="164">
        <v>0.1</v>
      </c>
      <c r="H4864" s="151"/>
      <c r="I4864" s="146">
        <f>G4864*I4863</f>
        <v>27597.61</v>
      </c>
    </row>
    <row r="4865" spans="2:10" ht="15.95" customHeight="1" thickBot="1" x14ac:dyDescent="0.3">
      <c r="C4865" s="111" t="s">
        <v>394</v>
      </c>
      <c r="D4865" s="112" t="s">
        <v>395</v>
      </c>
      <c r="E4865" s="134"/>
      <c r="F4865" s="134"/>
      <c r="G4865" s="156"/>
      <c r="H4865" s="136">
        <f>IF(AND(D4865&lt;&gt;"",F4865&lt;&gt;""),IF(C4865="",IF(F4865="OH",VLOOKUP(D4865,[1]UPAH!$B$3:$G$32,7,0),VLOOKUP(D4865,[1]BAHAN!$A$2:$D$3,4,0)),0),0)</f>
        <v>0</v>
      </c>
      <c r="I4865" s="137">
        <f>ROUNDDOWN(I4863+I4864,0)</f>
        <v>303573</v>
      </c>
    </row>
    <row r="4866" spans="2:10" ht="15.95" customHeight="1" x14ac:dyDescent="0.25">
      <c r="D4866" s="109"/>
      <c r="G4866" s="157"/>
    </row>
    <row r="4867" spans="2:10" ht="15.95" customHeight="1" thickBot="1" x14ac:dyDescent="0.3">
      <c r="B4867" s="174" t="s">
        <v>1154</v>
      </c>
      <c r="C4867" s="104" t="s">
        <v>1155</v>
      </c>
      <c r="D4867" s="109"/>
      <c r="G4867" s="157"/>
      <c r="J4867" s="110">
        <f>I4884</f>
        <v>281002</v>
      </c>
    </row>
    <row r="4868" spans="2:10" ht="15.95" customHeight="1" thickBot="1" x14ac:dyDescent="0.3">
      <c r="C4868" s="111" t="s">
        <v>328</v>
      </c>
      <c r="D4868" s="112" t="s">
        <v>359</v>
      </c>
      <c r="E4868" s="113" t="s">
        <v>360</v>
      </c>
      <c r="F4868" s="113" t="s">
        <v>330</v>
      </c>
      <c r="G4868" s="114" t="s">
        <v>361</v>
      </c>
      <c r="H4868" s="112" t="s">
        <v>362</v>
      </c>
      <c r="I4868" s="115" t="s">
        <v>363</v>
      </c>
    </row>
    <row r="4869" spans="2:10" ht="15.95" customHeight="1" x14ac:dyDescent="0.25">
      <c r="C4869" s="116" t="s">
        <v>364</v>
      </c>
      <c r="D4869" s="117" t="s">
        <v>365</v>
      </c>
      <c r="E4869" s="118"/>
      <c r="F4869" s="118"/>
      <c r="G4869" s="165"/>
      <c r="H4869" s="144"/>
      <c r="I4869" s="126"/>
    </row>
    <row r="4870" spans="2:10" ht="15.95" customHeight="1" x14ac:dyDescent="0.25">
      <c r="C4870" s="122"/>
      <c r="D4870" s="117" t="s">
        <v>366</v>
      </c>
      <c r="E4870" s="123" t="s">
        <v>367</v>
      </c>
      <c r="F4870" s="123" t="s">
        <v>368</v>
      </c>
      <c r="G4870" s="217">
        <v>0.25</v>
      </c>
      <c r="H4870" s="125">
        <f>VLOOKUP(D4870,Upah,8,FALSE)</f>
        <v>125000</v>
      </c>
      <c r="I4870" s="126">
        <f>G4870*H4870</f>
        <v>31250</v>
      </c>
    </row>
    <row r="4871" spans="2:10" ht="15.95" customHeight="1" x14ac:dyDescent="0.25">
      <c r="C4871" s="122"/>
      <c r="D4871" s="117" t="s">
        <v>369</v>
      </c>
      <c r="E4871" s="123" t="s">
        <v>370</v>
      </c>
      <c r="F4871" s="123" t="s">
        <v>368</v>
      </c>
      <c r="G4871" s="217">
        <v>0.25</v>
      </c>
      <c r="H4871" s="125">
        <f>VLOOKUP(D4871,Upah,8,FALSE)</f>
        <v>150000</v>
      </c>
      <c r="I4871" s="126">
        <f>G4871*H4871</f>
        <v>37500</v>
      </c>
    </row>
    <row r="4872" spans="2:10" ht="15.95" customHeight="1" x14ac:dyDescent="0.25">
      <c r="C4872" s="122"/>
      <c r="D4872" s="117" t="s">
        <v>429</v>
      </c>
      <c r="E4872" s="123" t="s">
        <v>372</v>
      </c>
      <c r="F4872" s="123" t="s">
        <v>368</v>
      </c>
      <c r="G4872" s="217">
        <v>2.5000000000000001E-2</v>
      </c>
      <c r="H4872" s="125">
        <f>VLOOKUP(D4872,Upah,8,FALSE)</f>
        <v>165000</v>
      </c>
      <c r="I4872" s="126">
        <f>G4872*H4872</f>
        <v>4125</v>
      </c>
    </row>
    <row r="4873" spans="2:10" ht="15.95" customHeight="1" thickBot="1" x14ac:dyDescent="0.3">
      <c r="C4873" s="122"/>
      <c r="D4873" s="117" t="s">
        <v>373</v>
      </c>
      <c r="E4873" s="123" t="s">
        <v>374</v>
      </c>
      <c r="F4873" s="123" t="s">
        <v>368</v>
      </c>
      <c r="G4873" s="218">
        <v>2.5000000000000001E-3</v>
      </c>
      <c r="H4873" s="125">
        <f>VLOOKUP(D4873,Upah,8,FALSE)</f>
        <v>170000</v>
      </c>
      <c r="I4873" s="126">
        <f>G4873*H4873</f>
        <v>425</v>
      </c>
    </row>
    <row r="4874" spans="2:10" ht="15.95" customHeight="1" thickBot="1" x14ac:dyDescent="0.3">
      <c r="C4874" s="132"/>
      <c r="D4874" s="133"/>
      <c r="E4874" s="134"/>
      <c r="F4874" s="134"/>
      <c r="G4874" s="135" t="s">
        <v>375</v>
      </c>
      <c r="H4874" s="136"/>
      <c r="I4874" s="137">
        <f>SUM(I4870:I4873)</f>
        <v>73300</v>
      </c>
    </row>
    <row r="4875" spans="2:10" ht="15.95" customHeight="1" x14ac:dyDescent="0.25">
      <c r="C4875" s="116" t="s">
        <v>376</v>
      </c>
      <c r="D4875" s="117" t="s">
        <v>377</v>
      </c>
      <c r="E4875" s="118"/>
      <c r="F4875" s="118"/>
      <c r="G4875" s="165"/>
      <c r="H4875" s="144"/>
      <c r="I4875" s="126"/>
    </row>
    <row r="4876" spans="2:10" ht="15.95" customHeight="1" x14ac:dyDescent="0.25">
      <c r="C4876" s="122"/>
      <c r="D4876" s="219" t="s">
        <v>1156</v>
      </c>
      <c r="E4876" s="118"/>
      <c r="F4876" s="185" t="s">
        <v>1144</v>
      </c>
      <c r="G4876" s="124">
        <v>1.01</v>
      </c>
      <c r="H4876" s="144">
        <f>VLOOKUP(D4876,Bahan,6,FALSE)</f>
        <v>139700</v>
      </c>
      <c r="I4876" s="126">
        <f>G4876*H4876</f>
        <v>141097</v>
      </c>
    </row>
    <row r="4877" spans="2:10" ht="15.95" customHeight="1" thickBot="1" x14ac:dyDescent="0.3">
      <c r="C4877" s="127"/>
      <c r="D4877" s="191" t="s">
        <v>1919</v>
      </c>
      <c r="E4877" s="145"/>
      <c r="F4877" s="189" t="s">
        <v>1145</v>
      </c>
      <c r="G4877" s="130">
        <v>7.0000000000000007E-2</v>
      </c>
      <c r="H4877" s="144">
        <f>VLOOKUP(D4877,Bahan,6,FALSE)</f>
        <v>350000</v>
      </c>
      <c r="I4877" s="146">
        <f>G4877*H4877</f>
        <v>24500.000000000004</v>
      </c>
    </row>
    <row r="4878" spans="2:10" ht="15.95" customHeight="1" thickBot="1" x14ac:dyDescent="0.3">
      <c r="C4878" s="132"/>
      <c r="D4878" s="133"/>
      <c r="E4878" s="134"/>
      <c r="F4878" s="134"/>
      <c r="G4878" s="135" t="s">
        <v>386</v>
      </c>
      <c r="H4878" s="136"/>
      <c r="I4878" s="137">
        <f>SUM(I4876:I4877)</f>
        <v>165597</v>
      </c>
    </row>
    <row r="4879" spans="2:10" ht="15.95" customHeight="1" x14ac:dyDescent="0.25">
      <c r="C4879" s="116" t="s">
        <v>387</v>
      </c>
      <c r="D4879" s="117" t="s">
        <v>388</v>
      </c>
      <c r="E4879" s="118"/>
      <c r="F4879" s="118"/>
      <c r="G4879" s="165"/>
      <c r="H4879" s="144">
        <f>IF(AND(D4879&lt;&gt;"",F4879&lt;&gt;""),IF(C4879="",IF(F4879="OH",VLOOKUP(D4879,[1]UPAH!$B$3:$G$32,7,0),VLOOKUP(D4879,[1]BAHAN!$A$2:$D$3,4,0)),0),0)</f>
        <v>0</v>
      </c>
      <c r="I4879" s="126"/>
    </row>
    <row r="4880" spans="2:10" ht="15.95" customHeight="1" thickBot="1" x14ac:dyDescent="0.3">
      <c r="C4880" s="147"/>
      <c r="D4880" s="148" t="s">
        <v>1146</v>
      </c>
      <c r="E4880" s="149"/>
      <c r="F4880" s="149" t="s">
        <v>1147</v>
      </c>
      <c r="G4880" s="150">
        <v>0.1</v>
      </c>
      <c r="H4880" s="144">
        <f>I4878</f>
        <v>165597</v>
      </c>
      <c r="I4880" s="152">
        <f>G4880*H4880</f>
        <v>16559.7</v>
      </c>
    </row>
    <row r="4881" spans="2:10" ht="15.95" customHeight="1" thickBot="1" x14ac:dyDescent="0.3">
      <c r="C4881" s="132"/>
      <c r="D4881" s="133"/>
      <c r="E4881" s="134"/>
      <c r="F4881" s="134"/>
      <c r="G4881" s="135" t="s">
        <v>389</v>
      </c>
      <c r="H4881" s="136"/>
      <c r="I4881" s="137">
        <f>I4880</f>
        <v>16559.7</v>
      </c>
    </row>
    <row r="4882" spans="2:10" ht="15.95" customHeight="1" x14ac:dyDescent="0.25">
      <c r="C4882" s="158" t="s">
        <v>390</v>
      </c>
      <c r="D4882" s="159" t="s">
        <v>391</v>
      </c>
      <c r="E4882" s="160"/>
      <c r="F4882" s="160"/>
      <c r="G4882" s="161"/>
      <c r="H4882" s="162">
        <f>IF(AND(D4882&lt;&gt;"",F4882&lt;&gt;""),IF(C4882="",IF(F4882="OH",VLOOKUP(D4882,[1]UPAH!$B$3:$G$32,7,0),VLOOKUP(D4882,[1]BAHAN!$A$2:$D$3,4,0)),0),0)</f>
        <v>0</v>
      </c>
      <c r="I4882" s="126">
        <f>SUM(I4870:I4881)/2</f>
        <v>255456.7</v>
      </c>
    </row>
    <row r="4883" spans="2:10" ht="15.95" customHeight="1" thickBot="1" x14ac:dyDescent="0.3">
      <c r="C4883" s="147" t="s">
        <v>392</v>
      </c>
      <c r="D4883" s="148" t="s">
        <v>393</v>
      </c>
      <c r="E4883" s="149"/>
      <c r="F4883" s="149"/>
      <c r="G4883" s="164">
        <v>0.1</v>
      </c>
      <c r="H4883" s="151"/>
      <c r="I4883" s="146">
        <f>G4883*I4882</f>
        <v>25545.670000000002</v>
      </c>
    </row>
    <row r="4884" spans="2:10" ht="15.95" customHeight="1" thickBot="1" x14ac:dyDescent="0.3">
      <c r="C4884" s="111" t="s">
        <v>394</v>
      </c>
      <c r="D4884" s="112" t="s">
        <v>395</v>
      </c>
      <c r="E4884" s="134"/>
      <c r="F4884" s="134"/>
      <c r="G4884" s="156"/>
      <c r="H4884" s="136">
        <f>IF(AND(D4884&lt;&gt;"",F4884&lt;&gt;""),IF(C4884="",IF(F4884="OH",VLOOKUP(D4884,[1]UPAH!$B$3:$G$32,7,0),VLOOKUP(D4884,[1]BAHAN!$A$2:$D$3,4,0)),0),0)</f>
        <v>0</v>
      </c>
      <c r="I4884" s="137">
        <f>ROUNDDOWN(I4882+I4883,0)</f>
        <v>281002</v>
      </c>
    </row>
    <row r="4885" spans="2:10" ht="15.95" customHeight="1" x14ac:dyDescent="0.25">
      <c r="D4885" s="109"/>
      <c r="G4885" s="157"/>
    </row>
    <row r="4886" spans="2:10" ht="15.95" customHeight="1" thickBot="1" x14ac:dyDescent="0.3">
      <c r="B4886" s="174" t="s">
        <v>1157</v>
      </c>
      <c r="C4886" s="104" t="s">
        <v>1158</v>
      </c>
      <c r="D4886" s="109"/>
      <c r="G4886" s="157"/>
      <c r="J4886" s="110">
        <f>I4902</f>
        <v>203649</v>
      </c>
    </row>
    <row r="4887" spans="2:10" ht="15.95" customHeight="1" thickBot="1" x14ac:dyDescent="0.3">
      <c r="C4887" s="111" t="s">
        <v>328</v>
      </c>
      <c r="D4887" s="112" t="s">
        <v>359</v>
      </c>
      <c r="E4887" s="113" t="s">
        <v>360</v>
      </c>
      <c r="F4887" s="113" t="s">
        <v>330</v>
      </c>
      <c r="G4887" s="114" t="s">
        <v>361</v>
      </c>
      <c r="H4887" s="112" t="s">
        <v>362</v>
      </c>
      <c r="I4887" s="115" t="s">
        <v>363</v>
      </c>
    </row>
    <row r="4888" spans="2:10" ht="15.95" customHeight="1" x14ac:dyDescent="0.25">
      <c r="C4888" s="116" t="s">
        <v>364</v>
      </c>
      <c r="D4888" s="117" t="s">
        <v>365</v>
      </c>
      <c r="E4888" s="118"/>
      <c r="F4888" s="118"/>
      <c r="G4888" s="165"/>
      <c r="H4888" s="144"/>
      <c r="I4888" s="126"/>
    </row>
    <row r="4889" spans="2:10" ht="15.95" customHeight="1" x14ac:dyDescent="0.25">
      <c r="C4889" s="122"/>
      <c r="D4889" s="117" t="s">
        <v>366</v>
      </c>
      <c r="E4889" s="123" t="s">
        <v>367</v>
      </c>
      <c r="F4889" s="123" t="s">
        <v>368</v>
      </c>
      <c r="G4889" s="124">
        <v>0.15</v>
      </c>
      <c r="H4889" s="125">
        <f>VLOOKUP(D4889,Upah,8,FALSE)</f>
        <v>125000</v>
      </c>
      <c r="I4889" s="126">
        <f>G4889*H4889</f>
        <v>18750</v>
      </c>
    </row>
    <row r="4890" spans="2:10" ht="15.95" customHeight="1" x14ac:dyDescent="0.25">
      <c r="C4890" s="122"/>
      <c r="D4890" s="117" t="s">
        <v>577</v>
      </c>
      <c r="E4890" s="123" t="s">
        <v>578</v>
      </c>
      <c r="F4890" s="123" t="s">
        <v>368</v>
      </c>
      <c r="G4890" s="124">
        <v>7.4999999999999997E-2</v>
      </c>
      <c r="H4890" s="125">
        <f>VLOOKUP(D4890,Upah,8,FALSE)</f>
        <v>150000</v>
      </c>
      <c r="I4890" s="126">
        <f>G4890*H4890</f>
        <v>11250</v>
      </c>
    </row>
    <row r="4891" spans="2:10" ht="15.95" customHeight="1" x14ac:dyDescent="0.25">
      <c r="C4891" s="122"/>
      <c r="D4891" s="117" t="s">
        <v>371</v>
      </c>
      <c r="E4891" s="123" t="s">
        <v>372</v>
      </c>
      <c r="F4891" s="123" t="s">
        <v>368</v>
      </c>
      <c r="G4891" s="124">
        <v>8.0000000000000002E-3</v>
      </c>
      <c r="H4891" s="125">
        <f>VLOOKUP(D4891,Upah,8,FALSE)</f>
        <v>165000</v>
      </c>
      <c r="I4891" s="126">
        <f>G4891*H4891</f>
        <v>1320</v>
      </c>
    </row>
    <row r="4892" spans="2:10" ht="15.95" customHeight="1" thickBot="1" x14ac:dyDescent="0.3">
      <c r="C4892" s="122"/>
      <c r="D4892" s="117" t="s">
        <v>373</v>
      </c>
      <c r="E4892" s="123" t="s">
        <v>374</v>
      </c>
      <c r="F4892" s="123" t="s">
        <v>368</v>
      </c>
      <c r="G4892" s="124">
        <v>8.0000000000000002E-3</v>
      </c>
      <c r="H4892" s="125">
        <f>VLOOKUP(D4892,Upah,8,FALSE)</f>
        <v>170000</v>
      </c>
      <c r="I4892" s="126">
        <f>G4892*H4892</f>
        <v>1360</v>
      </c>
    </row>
    <row r="4893" spans="2:10" ht="15.95" customHeight="1" thickBot="1" x14ac:dyDescent="0.3">
      <c r="C4893" s="132"/>
      <c r="D4893" s="133"/>
      <c r="E4893" s="134"/>
      <c r="F4893" s="134"/>
      <c r="G4893" s="135" t="s">
        <v>375</v>
      </c>
      <c r="H4893" s="136"/>
      <c r="I4893" s="137">
        <f>SUM(I4889:I4892)</f>
        <v>32680</v>
      </c>
    </row>
    <row r="4894" spans="2:10" ht="15.95" customHeight="1" x14ac:dyDescent="0.25">
      <c r="C4894" s="116" t="s">
        <v>376</v>
      </c>
      <c r="D4894" s="117" t="s">
        <v>377</v>
      </c>
      <c r="E4894" s="118"/>
      <c r="F4894" s="118"/>
      <c r="G4894" s="165"/>
      <c r="H4894" s="144"/>
      <c r="I4894" s="126"/>
    </row>
    <row r="4895" spans="2:10" ht="15.95" customHeight="1" x14ac:dyDescent="0.25">
      <c r="C4895" s="122"/>
      <c r="D4895" s="117" t="s">
        <v>1159</v>
      </c>
      <c r="E4895" s="118"/>
      <c r="F4895" s="123" t="s">
        <v>399</v>
      </c>
      <c r="G4895" s="124">
        <v>0.36499999999999999</v>
      </c>
      <c r="H4895" s="144">
        <f>VLOOKUP(D4895,Bahan,6,FALSE)</f>
        <v>384810</v>
      </c>
      <c r="I4895" s="126">
        <f>G4895*H4895</f>
        <v>140455.65</v>
      </c>
    </row>
    <row r="4896" spans="2:10" ht="15.95" customHeight="1" thickBot="1" x14ac:dyDescent="0.3">
      <c r="C4896" s="122"/>
      <c r="D4896" s="117" t="s">
        <v>1160</v>
      </c>
      <c r="E4896" s="118"/>
      <c r="F4896" s="123" t="s">
        <v>130</v>
      </c>
      <c r="G4896" s="124">
        <v>20</v>
      </c>
      <c r="H4896" s="144">
        <f>VLOOKUP(D4896,Bahan,6,FALSE)</f>
        <v>600</v>
      </c>
      <c r="I4896" s="126">
        <f>G4896*H4896</f>
        <v>12000</v>
      </c>
    </row>
    <row r="4897" spans="1:10" ht="15.95" customHeight="1" thickBot="1" x14ac:dyDescent="0.3">
      <c r="C4897" s="132"/>
      <c r="D4897" s="133"/>
      <c r="E4897" s="134"/>
      <c r="F4897" s="134"/>
      <c r="G4897" s="135" t="s">
        <v>386</v>
      </c>
      <c r="H4897" s="136"/>
      <c r="I4897" s="137">
        <f>SUM(I4895:I4896)</f>
        <v>152455.65</v>
      </c>
    </row>
    <row r="4898" spans="1:10" ht="15.95" customHeight="1" thickBot="1" x14ac:dyDescent="0.3">
      <c r="C4898" s="116" t="s">
        <v>387</v>
      </c>
      <c r="D4898" s="117" t="s">
        <v>388</v>
      </c>
      <c r="E4898" s="118"/>
      <c r="F4898" s="118"/>
      <c r="G4898" s="165"/>
      <c r="H4898" s="144">
        <f>IF(AND(D4898&lt;&gt;"",F4898&lt;&gt;""),IF(C4898="",IF(F4898="OH",VLOOKUP(D4898,[1]UPAH!$B$3:$G$32,7,0),VLOOKUP(D4898,[1]BAHAN!$A$2:$D$3,4,0)),0),0)</f>
        <v>0</v>
      </c>
      <c r="I4898" s="126">
        <f>G4898*H4898</f>
        <v>0</v>
      </c>
    </row>
    <row r="4899" spans="1:10" ht="15.95" customHeight="1" thickBot="1" x14ac:dyDescent="0.3">
      <c r="C4899" s="132"/>
      <c r="D4899" s="133"/>
      <c r="E4899" s="134"/>
      <c r="F4899" s="134"/>
      <c r="G4899" s="135" t="s">
        <v>389</v>
      </c>
      <c r="H4899" s="136"/>
      <c r="I4899" s="137">
        <f>I4898</f>
        <v>0</v>
      </c>
    </row>
    <row r="4900" spans="1:10" ht="15.95" customHeight="1" x14ac:dyDescent="0.25">
      <c r="C4900" s="158" t="s">
        <v>390</v>
      </c>
      <c r="D4900" s="159" t="s">
        <v>391</v>
      </c>
      <c r="E4900" s="160"/>
      <c r="F4900" s="160"/>
      <c r="G4900" s="161"/>
      <c r="H4900" s="162">
        <f>IF(AND(D4900&lt;&gt;"",F4900&lt;&gt;""),IF(C4900="",IF(F4900="OH",VLOOKUP(D4900,[1]UPAH!$B$3:$G$32,7,0),VLOOKUP(D4900,[1]BAHAN!$A$2:$D$3,4,0)),0),0)</f>
        <v>0</v>
      </c>
      <c r="I4900" s="126">
        <f>SUM(I4889:I4899)/2</f>
        <v>185135.65</v>
      </c>
    </row>
    <row r="4901" spans="1:10" ht="15.95" customHeight="1" thickBot="1" x14ac:dyDescent="0.3">
      <c r="C4901" s="147" t="s">
        <v>392</v>
      </c>
      <c r="D4901" s="148" t="s">
        <v>393</v>
      </c>
      <c r="E4901" s="149"/>
      <c r="F4901" s="149"/>
      <c r="G4901" s="164">
        <v>0.1</v>
      </c>
      <c r="H4901" s="151"/>
      <c r="I4901" s="146">
        <f>G4901*I4900</f>
        <v>18513.564999999999</v>
      </c>
    </row>
    <row r="4902" spans="1:10" ht="15.95" customHeight="1" thickBot="1" x14ac:dyDescent="0.3">
      <c r="C4902" s="111" t="s">
        <v>394</v>
      </c>
      <c r="D4902" s="112" t="s">
        <v>395</v>
      </c>
      <c r="E4902" s="134"/>
      <c r="F4902" s="134"/>
      <c r="G4902" s="156"/>
      <c r="H4902" s="136">
        <f>IF(AND(D4902&lt;&gt;"",F4902&lt;&gt;""),IF(C4902="",IF(F4902="OH",VLOOKUP(D4902,[1]UPAH!$B$3:$G$32,7,0),VLOOKUP(D4902,[1]BAHAN!$A$2:$D$3,4,0)),0),0)</f>
        <v>0</v>
      </c>
      <c r="I4902" s="137">
        <f>ROUNDDOWN(I4900+I4901,0)</f>
        <v>203649</v>
      </c>
    </row>
    <row r="4903" spans="1:10" ht="15.95" customHeight="1" x14ac:dyDescent="0.25">
      <c r="D4903" s="109"/>
      <c r="G4903" s="157"/>
    </row>
    <row r="4904" spans="1:10" ht="15.95" customHeight="1" x14ac:dyDescent="0.25">
      <c r="A4904" s="167" t="s">
        <v>1161</v>
      </c>
      <c r="B4904" s="168" t="s">
        <v>1162</v>
      </c>
      <c r="G4904" s="157"/>
    </row>
    <row r="4905" spans="1:10" ht="15.95" customHeight="1" thickBot="1" x14ac:dyDescent="0.3">
      <c r="B4905" s="104" t="s">
        <v>1163</v>
      </c>
      <c r="C4905" s="109" t="s">
        <v>1164</v>
      </c>
      <c r="G4905" s="157"/>
      <c r="J4905" s="110">
        <f>I4921</f>
        <v>126353</v>
      </c>
    </row>
    <row r="4906" spans="1:10" ht="15.95" customHeight="1" thickBot="1" x14ac:dyDescent="0.3">
      <c r="C4906" s="111" t="s">
        <v>328</v>
      </c>
      <c r="D4906" s="112" t="s">
        <v>359</v>
      </c>
      <c r="E4906" s="113" t="s">
        <v>360</v>
      </c>
      <c r="F4906" s="113" t="s">
        <v>330</v>
      </c>
      <c r="G4906" s="114" t="s">
        <v>361</v>
      </c>
      <c r="H4906" s="112" t="s">
        <v>362</v>
      </c>
      <c r="I4906" s="115" t="s">
        <v>363</v>
      </c>
    </row>
    <row r="4907" spans="1:10" ht="15.95" customHeight="1" x14ac:dyDescent="0.25">
      <c r="C4907" s="158" t="s">
        <v>364</v>
      </c>
      <c r="D4907" s="159" t="s">
        <v>365</v>
      </c>
      <c r="E4907" s="160"/>
      <c r="F4907" s="160"/>
      <c r="G4907" s="161"/>
      <c r="H4907" s="162"/>
      <c r="I4907" s="163"/>
    </row>
    <row r="4908" spans="1:10" ht="15.95" customHeight="1" x14ac:dyDescent="0.25">
      <c r="C4908" s="122"/>
      <c r="D4908" s="117" t="s">
        <v>366</v>
      </c>
      <c r="E4908" s="123" t="s">
        <v>367</v>
      </c>
      <c r="F4908" s="123" t="s">
        <v>368</v>
      </c>
      <c r="G4908" s="124">
        <v>0.03</v>
      </c>
      <c r="H4908" s="125">
        <f>VLOOKUP(D4908,Upah,8,FALSE)</f>
        <v>125000</v>
      </c>
      <c r="I4908" s="126">
        <f>G4908*H4908</f>
        <v>3750</v>
      </c>
    </row>
    <row r="4909" spans="1:10" ht="15.95" customHeight="1" x14ac:dyDescent="0.25">
      <c r="C4909" s="122"/>
      <c r="D4909" s="117" t="s">
        <v>611</v>
      </c>
      <c r="E4909" s="123" t="s">
        <v>370</v>
      </c>
      <c r="F4909" s="123" t="s">
        <v>368</v>
      </c>
      <c r="G4909" s="124">
        <v>7.0000000000000007E-2</v>
      </c>
      <c r="H4909" s="125">
        <f>VLOOKUP(D4909,Upah,8,FALSE)</f>
        <v>150000</v>
      </c>
      <c r="I4909" s="126">
        <f>G4909*H4909</f>
        <v>10500.000000000002</v>
      </c>
    </row>
    <row r="4910" spans="1:10" ht="15.95" customHeight="1" x14ac:dyDescent="0.25">
      <c r="C4910" s="122"/>
      <c r="D4910" s="117" t="s">
        <v>429</v>
      </c>
      <c r="E4910" s="123" t="s">
        <v>372</v>
      </c>
      <c r="F4910" s="123" t="s">
        <v>368</v>
      </c>
      <c r="G4910" s="124">
        <v>7.0000000000000001E-3</v>
      </c>
      <c r="H4910" s="125">
        <f>VLOOKUP(D4910,Upah,8,FALSE)</f>
        <v>165000</v>
      </c>
      <c r="I4910" s="126">
        <f>G4910*H4910</f>
        <v>1155</v>
      </c>
    </row>
    <row r="4911" spans="1:10" ht="15.95" customHeight="1" thickBot="1" x14ac:dyDescent="0.3">
      <c r="C4911" s="122"/>
      <c r="D4911" s="117" t="s">
        <v>373</v>
      </c>
      <c r="E4911" s="123" t="s">
        <v>374</v>
      </c>
      <c r="F4911" s="123" t="s">
        <v>368</v>
      </c>
      <c r="G4911" s="124">
        <v>4.0000000000000001E-3</v>
      </c>
      <c r="H4911" s="125">
        <f>VLOOKUP(D4911,Upah,8,FALSE)</f>
        <v>170000</v>
      </c>
      <c r="I4911" s="126">
        <f>G4911*H4911</f>
        <v>680</v>
      </c>
    </row>
    <row r="4912" spans="1:10" ht="15.95" customHeight="1" thickBot="1" x14ac:dyDescent="0.3">
      <c r="C4912" s="132"/>
      <c r="D4912" s="133"/>
      <c r="E4912" s="134"/>
      <c r="F4912" s="134"/>
      <c r="G4912" s="135" t="s">
        <v>375</v>
      </c>
      <c r="H4912" s="136"/>
      <c r="I4912" s="137">
        <f>SUM(I4908:I4911)</f>
        <v>16085.000000000002</v>
      </c>
    </row>
    <row r="4913" spans="2:10" ht="15.95" customHeight="1" x14ac:dyDescent="0.25">
      <c r="C4913" s="116" t="s">
        <v>376</v>
      </c>
      <c r="D4913" s="117" t="s">
        <v>377</v>
      </c>
      <c r="E4913" s="118"/>
      <c r="F4913" s="118"/>
      <c r="G4913" s="165"/>
      <c r="H4913" s="144"/>
      <c r="I4913" s="126"/>
    </row>
    <row r="4914" spans="2:10" ht="15.95" customHeight="1" x14ac:dyDescent="0.25">
      <c r="C4914" s="122"/>
      <c r="D4914" s="117" t="s">
        <v>1165</v>
      </c>
      <c r="E4914" s="118"/>
      <c r="F4914" s="123" t="s">
        <v>82</v>
      </c>
      <c r="G4914" s="124">
        <v>1.1000000000000001</v>
      </c>
      <c r="H4914" s="144">
        <f>VLOOKUP(D4914,Bahan,6,FALSE)</f>
        <v>89600</v>
      </c>
      <c r="I4914" s="126">
        <f>G4914*H4914</f>
        <v>98560.000000000015</v>
      </c>
    </row>
    <row r="4915" spans="2:10" ht="15.95" customHeight="1" thickBot="1" x14ac:dyDescent="0.3">
      <c r="C4915" s="122"/>
      <c r="D4915" s="117" t="s">
        <v>1166</v>
      </c>
      <c r="E4915" s="118"/>
      <c r="F4915" s="123" t="s">
        <v>133</v>
      </c>
      <c r="G4915" s="124">
        <v>0.01</v>
      </c>
      <c r="H4915" s="144">
        <f>VLOOKUP(D4915,Bahan,6,FALSE)</f>
        <v>22140</v>
      </c>
      <c r="I4915" s="126">
        <f>G4915*H4915</f>
        <v>221.4</v>
      </c>
    </row>
    <row r="4916" spans="2:10" ht="15.95" customHeight="1" thickBot="1" x14ac:dyDescent="0.3">
      <c r="C4916" s="132"/>
      <c r="D4916" s="133"/>
      <c r="E4916" s="134"/>
      <c r="F4916" s="134"/>
      <c r="G4916" s="135" t="s">
        <v>386</v>
      </c>
      <c r="H4916" s="136"/>
      <c r="I4916" s="137">
        <f>SUM(I4914:I4915)</f>
        <v>98781.400000000009</v>
      </c>
    </row>
    <row r="4917" spans="2:10" ht="15.95" customHeight="1" thickBot="1" x14ac:dyDescent="0.3">
      <c r="C4917" s="116" t="s">
        <v>387</v>
      </c>
      <c r="D4917" s="117" t="s">
        <v>388</v>
      </c>
      <c r="E4917" s="118"/>
      <c r="F4917" s="118"/>
      <c r="G4917" s="165"/>
      <c r="H4917" s="144">
        <f>IF(AND(D4917&lt;&gt;"",F4917&lt;&gt;""),IF(C4917="",IF(F4917="OH",VLOOKUP(D4917,[1]UPAH!$B$3:$G$32,7,0),VLOOKUP(D4917,[1]BAHAN!$A$2:$D$3,4,0)),0),0)</f>
        <v>0</v>
      </c>
      <c r="I4917" s="126">
        <f>G4917*H4917</f>
        <v>0</v>
      </c>
    </row>
    <row r="4918" spans="2:10" ht="15.95" customHeight="1" thickBot="1" x14ac:dyDescent="0.3">
      <c r="C4918" s="132"/>
      <c r="D4918" s="133"/>
      <c r="E4918" s="134"/>
      <c r="F4918" s="134"/>
      <c r="G4918" s="135" t="s">
        <v>389</v>
      </c>
      <c r="H4918" s="136"/>
      <c r="I4918" s="137">
        <f>I4917</f>
        <v>0</v>
      </c>
    </row>
    <row r="4919" spans="2:10" ht="15.95" customHeight="1" x14ac:dyDescent="0.25">
      <c r="C4919" s="158" t="s">
        <v>390</v>
      </c>
      <c r="D4919" s="159" t="s">
        <v>391</v>
      </c>
      <c r="E4919" s="160"/>
      <c r="F4919" s="160"/>
      <c r="G4919" s="161"/>
      <c r="H4919" s="162">
        <f>IF(AND(D4919&lt;&gt;"",F4919&lt;&gt;""),IF(C4919="",IF(F4919="OH",VLOOKUP(D4919,[1]UPAH!$B$3:$G$32,7,0),VLOOKUP(D4919,[1]BAHAN!$A$2:$D$3,4,0)),0),0)</f>
        <v>0</v>
      </c>
      <c r="I4919" s="126">
        <f>SUM(I4908:I4918)/2</f>
        <v>114866.40000000001</v>
      </c>
    </row>
    <row r="4920" spans="2:10" ht="15.95" customHeight="1" thickBot="1" x14ac:dyDescent="0.3">
      <c r="C4920" s="147" t="s">
        <v>392</v>
      </c>
      <c r="D4920" s="148" t="s">
        <v>393</v>
      </c>
      <c r="E4920" s="149"/>
      <c r="F4920" s="149"/>
      <c r="G4920" s="164">
        <v>0.1</v>
      </c>
      <c r="H4920" s="151"/>
      <c r="I4920" s="146">
        <f>G4920*I4919</f>
        <v>11486.640000000001</v>
      </c>
    </row>
    <row r="4921" spans="2:10" ht="15.95" customHeight="1" thickBot="1" x14ac:dyDescent="0.3">
      <c r="C4921" s="111" t="s">
        <v>394</v>
      </c>
      <c r="D4921" s="112" t="s">
        <v>395</v>
      </c>
      <c r="E4921" s="134"/>
      <c r="F4921" s="134"/>
      <c r="G4921" s="156"/>
      <c r="H4921" s="136">
        <f>IF(AND(D4921&lt;&gt;"",F4921&lt;&gt;""),IF(C4921="",IF(F4921="OH",VLOOKUP(D4921,[1]UPAH!$B$3:$G$32,7,0),VLOOKUP(D4921,[1]BAHAN!$A$2:$D$3,4,0)),0),0)</f>
        <v>0</v>
      </c>
      <c r="I4921" s="137">
        <f>ROUNDDOWN(I4919+I4920,0)</f>
        <v>126353</v>
      </c>
    </row>
    <row r="4922" spans="2:10" ht="15.95" customHeight="1" x14ac:dyDescent="0.25">
      <c r="C4922" s="109"/>
      <c r="D4922" s="109"/>
      <c r="G4922" s="157"/>
    </row>
    <row r="4923" spans="2:10" ht="15.95" customHeight="1" thickBot="1" x14ac:dyDescent="0.3">
      <c r="B4923" s="109" t="s">
        <v>1167</v>
      </c>
      <c r="C4923" s="104" t="s">
        <v>1168</v>
      </c>
      <c r="G4923" s="157"/>
      <c r="J4923" s="110">
        <f>I4939</f>
        <v>604457</v>
      </c>
    </row>
    <row r="4924" spans="2:10" ht="15.95" customHeight="1" thickBot="1" x14ac:dyDescent="0.3">
      <c r="C4924" s="111" t="s">
        <v>328</v>
      </c>
      <c r="D4924" s="112" t="s">
        <v>359</v>
      </c>
      <c r="E4924" s="113" t="s">
        <v>360</v>
      </c>
      <c r="F4924" s="113" t="s">
        <v>330</v>
      </c>
      <c r="G4924" s="114" t="s">
        <v>361</v>
      </c>
      <c r="H4924" s="112" t="s">
        <v>362</v>
      </c>
      <c r="I4924" s="115" t="s">
        <v>363</v>
      </c>
    </row>
    <row r="4925" spans="2:10" ht="15.95" customHeight="1" x14ac:dyDescent="0.25">
      <c r="C4925" s="116" t="s">
        <v>364</v>
      </c>
      <c r="D4925" s="117" t="s">
        <v>365</v>
      </c>
      <c r="E4925" s="118"/>
      <c r="F4925" s="118"/>
      <c r="G4925" s="165"/>
      <c r="H4925" s="144"/>
      <c r="I4925" s="126"/>
    </row>
    <row r="4926" spans="2:10" ht="15.95" customHeight="1" x14ac:dyDescent="0.25">
      <c r="C4926" s="122"/>
      <c r="D4926" s="117" t="s">
        <v>366</v>
      </c>
      <c r="E4926" s="123" t="s">
        <v>367</v>
      </c>
      <c r="F4926" s="123" t="s">
        <v>368</v>
      </c>
      <c r="G4926" s="124">
        <v>0.12</v>
      </c>
      <c r="H4926" s="125">
        <f>VLOOKUP(D4926,Upah,8,FALSE)</f>
        <v>125000</v>
      </c>
      <c r="I4926" s="126">
        <f>G4926*H4926</f>
        <v>15000</v>
      </c>
    </row>
    <row r="4927" spans="2:10" ht="15.95" customHeight="1" x14ac:dyDescent="0.25">
      <c r="C4927" s="122"/>
      <c r="D4927" s="117" t="s">
        <v>611</v>
      </c>
      <c r="E4927" s="123" t="s">
        <v>370</v>
      </c>
      <c r="F4927" s="123" t="s">
        <v>368</v>
      </c>
      <c r="G4927" s="124">
        <v>0.12</v>
      </c>
      <c r="H4927" s="125">
        <f>VLOOKUP(D4927,Upah,8,FALSE)</f>
        <v>150000</v>
      </c>
      <c r="I4927" s="126">
        <f>G4927*H4927</f>
        <v>18000</v>
      </c>
    </row>
    <row r="4928" spans="2:10" ht="15.95" customHeight="1" x14ac:dyDescent="0.25">
      <c r="C4928" s="122"/>
      <c r="D4928" s="117" t="s">
        <v>429</v>
      </c>
      <c r="E4928" s="123" t="s">
        <v>372</v>
      </c>
      <c r="F4928" s="123" t="s">
        <v>368</v>
      </c>
      <c r="G4928" s="124">
        <v>1.2E-2</v>
      </c>
      <c r="H4928" s="125">
        <f>VLOOKUP(D4928,Upah,8,FALSE)</f>
        <v>165000</v>
      </c>
      <c r="I4928" s="126">
        <f>G4928*H4928</f>
        <v>1980</v>
      </c>
    </row>
    <row r="4929" spans="2:10" ht="15.95" customHeight="1" thickBot="1" x14ac:dyDescent="0.3">
      <c r="C4929" s="122"/>
      <c r="D4929" s="117" t="s">
        <v>373</v>
      </c>
      <c r="E4929" s="123" t="s">
        <v>374</v>
      </c>
      <c r="F4929" s="123" t="s">
        <v>368</v>
      </c>
      <c r="G4929" s="124">
        <v>6.0000000000000001E-3</v>
      </c>
      <c r="H4929" s="125">
        <f>VLOOKUP(D4929,Upah,8,FALSE)</f>
        <v>170000</v>
      </c>
      <c r="I4929" s="126">
        <f>G4929*H4929</f>
        <v>1020</v>
      </c>
    </row>
    <row r="4930" spans="2:10" ht="15.95" customHeight="1" thickBot="1" x14ac:dyDescent="0.3">
      <c r="C4930" s="132"/>
      <c r="D4930" s="133"/>
      <c r="E4930" s="134"/>
      <c r="F4930" s="134"/>
      <c r="G4930" s="135" t="s">
        <v>375</v>
      </c>
      <c r="H4930" s="136"/>
      <c r="I4930" s="137">
        <f>SUM(I4926:I4929)</f>
        <v>36000</v>
      </c>
    </row>
    <row r="4931" spans="2:10" ht="15.95" customHeight="1" x14ac:dyDescent="0.25">
      <c r="C4931" s="116" t="s">
        <v>376</v>
      </c>
      <c r="D4931" s="117" t="s">
        <v>377</v>
      </c>
      <c r="E4931" s="118"/>
      <c r="F4931" s="118"/>
      <c r="G4931" s="165"/>
      <c r="H4931" s="144"/>
      <c r="I4931" s="126"/>
    </row>
    <row r="4932" spans="2:10" ht="15.95" customHeight="1" x14ac:dyDescent="0.25">
      <c r="C4932" s="122"/>
      <c r="D4932" s="117" t="s">
        <v>1169</v>
      </c>
      <c r="E4932" s="118"/>
      <c r="F4932" s="123" t="s">
        <v>621</v>
      </c>
      <c r="G4932" s="124">
        <v>12</v>
      </c>
      <c r="H4932" s="144">
        <f>VLOOKUP(D4932,Bahan,6,FALSE)</f>
        <v>42700</v>
      </c>
      <c r="I4932" s="126">
        <f>G4932*H4932</f>
        <v>512400</v>
      </c>
    </row>
    <row r="4933" spans="2:10" ht="15.95" customHeight="1" thickBot="1" x14ac:dyDescent="0.3">
      <c r="C4933" s="122"/>
      <c r="D4933" s="117" t="s">
        <v>1166</v>
      </c>
      <c r="E4933" s="118"/>
      <c r="F4933" s="123" t="s">
        <v>133</v>
      </c>
      <c r="G4933" s="124">
        <v>0.05</v>
      </c>
      <c r="H4933" s="144">
        <f>VLOOKUP(D4933,Bahan,6,FALSE)</f>
        <v>22140</v>
      </c>
      <c r="I4933" s="126">
        <f>G4933*H4933</f>
        <v>1107</v>
      </c>
    </row>
    <row r="4934" spans="2:10" ht="15.95" customHeight="1" thickBot="1" x14ac:dyDescent="0.3">
      <c r="C4934" s="132"/>
      <c r="D4934" s="133"/>
      <c r="E4934" s="134"/>
      <c r="F4934" s="134"/>
      <c r="G4934" s="135" t="s">
        <v>386</v>
      </c>
      <c r="H4934" s="136"/>
      <c r="I4934" s="137">
        <f>SUM(I4932:I4933)</f>
        <v>513507</v>
      </c>
    </row>
    <row r="4935" spans="2:10" ht="15.95" customHeight="1" thickBot="1" x14ac:dyDescent="0.3">
      <c r="C4935" s="116" t="s">
        <v>387</v>
      </c>
      <c r="D4935" s="117" t="s">
        <v>388</v>
      </c>
      <c r="E4935" s="118"/>
      <c r="F4935" s="118"/>
      <c r="G4935" s="165"/>
      <c r="H4935" s="144">
        <f>IF(AND(D4935&lt;&gt;"",F4935&lt;&gt;""),IF(C4935="",IF(F4935="OH",VLOOKUP(D4935,[1]UPAH!$B$3:$G$32,7,0),VLOOKUP(D4935,[1]BAHAN!$A$2:$D$3,4,0)),0),0)</f>
        <v>0</v>
      </c>
      <c r="I4935" s="126">
        <f>G4935*H4935</f>
        <v>0</v>
      </c>
    </row>
    <row r="4936" spans="2:10" ht="15.95" customHeight="1" thickBot="1" x14ac:dyDescent="0.3">
      <c r="C4936" s="132"/>
      <c r="D4936" s="133"/>
      <c r="E4936" s="134"/>
      <c r="F4936" s="134"/>
      <c r="G4936" s="135" t="s">
        <v>389</v>
      </c>
      <c r="H4936" s="136"/>
      <c r="I4936" s="137">
        <f>I4935</f>
        <v>0</v>
      </c>
    </row>
    <row r="4937" spans="2:10" ht="15.95" customHeight="1" x14ac:dyDescent="0.25">
      <c r="C4937" s="158" t="s">
        <v>390</v>
      </c>
      <c r="D4937" s="159" t="s">
        <v>391</v>
      </c>
      <c r="E4937" s="160"/>
      <c r="F4937" s="160"/>
      <c r="G4937" s="161"/>
      <c r="H4937" s="162">
        <f>IF(AND(D4937&lt;&gt;"",F4937&lt;&gt;""),IF(C4937="",IF(F4937="OH",VLOOKUP(D4937,[1]UPAH!$B$3:$G$32,7,0),VLOOKUP(D4937,[1]BAHAN!$A$2:$D$3,4,0)),0),0)</f>
        <v>0</v>
      </c>
      <c r="I4937" s="126">
        <f>SUM(I4926:I4936)/2</f>
        <v>549507</v>
      </c>
    </row>
    <row r="4938" spans="2:10" ht="15.95" customHeight="1" thickBot="1" x14ac:dyDescent="0.3">
      <c r="C4938" s="147" t="s">
        <v>392</v>
      </c>
      <c r="D4938" s="148" t="s">
        <v>393</v>
      </c>
      <c r="E4938" s="149"/>
      <c r="F4938" s="149"/>
      <c r="G4938" s="164">
        <v>0.1</v>
      </c>
      <c r="H4938" s="151"/>
      <c r="I4938" s="146">
        <f>G4938*I4937</f>
        <v>54950.700000000004</v>
      </c>
    </row>
    <row r="4939" spans="2:10" ht="15.95" customHeight="1" thickBot="1" x14ac:dyDescent="0.3">
      <c r="C4939" s="111" t="s">
        <v>394</v>
      </c>
      <c r="D4939" s="112" t="s">
        <v>395</v>
      </c>
      <c r="E4939" s="134"/>
      <c r="F4939" s="134"/>
      <c r="G4939" s="156"/>
      <c r="H4939" s="136">
        <f>IF(AND(D4939&lt;&gt;"",F4939&lt;&gt;""),IF(C4939="",IF(F4939="OH",VLOOKUP(D4939,[1]UPAH!$B$3:$G$32,7,0),VLOOKUP(D4939,[1]BAHAN!$A$2:$D$3,4,0)),0),0)</f>
        <v>0</v>
      </c>
      <c r="I4939" s="137">
        <f>ROUNDDOWN(I4937+I4938,0)</f>
        <v>604457</v>
      </c>
    </row>
    <row r="4940" spans="2:10" ht="15.95" customHeight="1" x14ac:dyDescent="0.25">
      <c r="C4940" s="109"/>
      <c r="D4940" s="109"/>
      <c r="G4940" s="157"/>
    </row>
    <row r="4941" spans="2:10" ht="15.95" customHeight="1" thickBot="1" x14ac:dyDescent="0.3">
      <c r="B4941" s="109" t="s">
        <v>1170</v>
      </c>
      <c r="C4941" s="104" t="s">
        <v>1171</v>
      </c>
      <c r="G4941" s="157"/>
      <c r="J4941" s="110">
        <f>I4957</f>
        <v>458388</v>
      </c>
    </row>
    <row r="4942" spans="2:10" ht="15.95" customHeight="1" thickBot="1" x14ac:dyDescent="0.3">
      <c r="C4942" s="111" t="s">
        <v>328</v>
      </c>
      <c r="D4942" s="112" t="s">
        <v>359</v>
      </c>
      <c r="E4942" s="113" t="s">
        <v>360</v>
      </c>
      <c r="F4942" s="113" t="s">
        <v>330</v>
      </c>
      <c r="G4942" s="114" t="s">
        <v>361</v>
      </c>
      <c r="H4942" s="112" t="s">
        <v>362</v>
      </c>
      <c r="I4942" s="115" t="s">
        <v>363</v>
      </c>
    </row>
    <row r="4943" spans="2:10" ht="15.95" customHeight="1" x14ac:dyDescent="0.25">
      <c r="C4943" s="116" t="s">
        <v>364</v>
      </c>
      <c r="D4943" s="117" t="s">
        <v>365</v>
      </c>
      <c r="E4943" s="118"/>
      <c r="F4943" s="118"/>
      <c r="G4943" s="165"/>
      <c r="H4943" s="144"/>
      <c r="I4943" s="126"/>
    </row>
    <row r="4944" spans="2:10" ht="15.95" customHeight="1" x14ac:dyDescent="0.25">
      <c r="C4944" s="122"/>
      <c r="D4944" s="117" t="s">
        <v>366</v>
      </c>
      <c r="E4944" s="123" t="s">
        <v>367</v>
      </c>
      <c r="F4944" s="123" t="s">
        <v>368</v>
      </c>
      <c r="G4944" s="124">
        <v>0.12</v>
      </c>
      <c r="H4944" s="125">
        <f>VLOOKUP(D4944,Upah,8,FALSE)</f>
        <v>125000</v>
      </c>
      <c r="I4944" s="126">
        <f>G4944*H4944</f>
        <v>15000</v>
      </c>
    </row>
    <row r="4945" spans="2:10" ht="15.95" customHeight="1" x14ac:dyDescent="0.25">
      <c r="C4945" s="122"/>
      <c r="D4945" s="117" t="s">
        <v>611</v>
      </c>
      <c r="E4945" s="123" t="s">
        <v>370</v>
      </c>
      <c r="F4945" s="123" t="s">
        <v>368</v>
      </c>
      <c r="G4945" s="124">
        <v>0.12</v>
      </c>
      <c r="H4945" s="125">
        <f>VLOOKUP(D4945,Upah,8,FALSE)</f>
        <v>150000</v>
      </c>
      <c r="I4945" s="126">
        <f>G4945*H4945</f>
        <v>18000</v>
      </c>
    </row>
    <row r="4946" spans="2:10" ht="15.95" customHeight="1" x14ac:dyDescent="0.25">
      <c r="C4946" s="122"/>
      <c r="D4946" s="117" t="s">
        <v>429</v>
      </c>
      <c r="E4946" s="123" t="s">
        <v>372</v>
      </c>
      <c r="F4946" s="123" t="s">
        <v>368</v>
      </c>
      <c r="G4946" s="124">
        <v>1.2E-2</v>
      </c>
      <c r="H4946" s="125">
        <f>VLOOKUP(D4946,Upah,8,FALSE)</f>
        <v>165000</v>
      </c>
      <c r="I4946" s="126">
        <f>G4946*H4946</f>
        <v>1980</v>
      </c>
    </row>
    <row r="4947" spans="2:10" ht="15.95" customHeight="1" thickBot="1" x14ac:dyDescent="0.3">
      <c r="C4947" s="122"/>
      <c r="D4947" s="117" t="s">
        <v>373</v>
      </c>
      <c r="E4947" s="123" t="s">
        <v>374</v>
      </c>
      <c r="F4947" s="123" t="s">
        <v>368</v>
      </c>
      <c r="G4947" s="124">
        <v>6.0000000000000001E-3</v>
      </c>
      <c r="H4947" s="125">
        <f>VLOOKUP(D4947,Upah,8,FALSE)</f>
        <v>170000</v>
      </c>
      <c r="I4947" s="126">
        <f>G4947*H4947</f>
        <v>1020</v>
      </c>
    </row>
    <row r="4948" spans="2:10" ht="15.95" customHeight="1" thickBot="1" x14ac:dyDescent="0.3">
      <c r="C4948" s="132"/>
      <c r="D4948" s="133"/>
      <c r="E4948" s="134"/>
      <c r="F4948" s="134"/>
      <c r="G4948" s="135" t="s">
        <v>375</v>
      </c>
      <c r="H4948" s="136"/>
      <c r="I4948" s="137">
        <f>SUM(I4944:I4947)</f>
        <v>36000</v>
      </c>
    </row>
    <row r="4949" spans="2:10" ht="15.95" customHeight="1" x14ac:dyDescent="0.25">
      <c r="C4949" s="116" t="s">
        <v>376</v>
      </c>
      <c r="D4949" s="117" t="s">
        <v>377</v>
      </c>
      <c r="E4949" s="118"/>
      <c r="F4949" s="118"/>
      <c r="G4949" s="165"/>
      <c r="H4949" s="144"/>
      <c r="I4949" s="126"/>
    </row>
    <row r="4950" spans="2:10" ht="15.95" customHeight="1" x14ac:dyDescent="0.25">
      <c r="C4950" s="122"/>
      <c r="D4950" s="117" t="s">
        <v>1172</v>
      </c>
      <c r="E4950" s="118"/>
      <c r="F4950" s="123" t="s">
        <v>621</v>
      </c>
      <c r="G4950" s="124">
        <v>5.8</v>
      </c>
      <c r="H4950" s="144">
        <f>VLOOKUP(D4950,Bahan,6,FALSE)</f>
        <v>65450</v>
      </c>
      <c r="I4950" s="126">
        <f>G4950*H4950</f>
        <v>379610</v>
      </c>
    </row>
    <row r="4951" spans="2:10" ht="15.95" customHeight="1" thickBot="1" x14ac:dyDescent="0.3">
      <c r="C4951" s="122"/>
      <c r="D4951" s="117" t="s">
        <v>1166</v>
      </c>
      <c r="E4951" s="118"/>
      <c r="F4951" s="123" t="s">
        <v>133</v>
      </c>
      <c r="G4951" s="124">
        <v>0.05</v>
      </c>
      <c r="H4951" s="144">
        <f>VLOOKUP(D4951,Bahan,6,FALSE)</f>
        <v>22140</v>
      </c>
      <c r="I4951" s="126">
        <f>G4951*H4951</f>
        <v>1107</v>
      </c>
    </row>
    <row r="4952" spans="2:10" ht="15.95" customHeight="1" thickBot="1" x14ac:dyDescent="0.3">
      <c r="C4952" s="132"/>
      <c r="D4952" s="133"/>
      <c r="E4952" s="134"/>
      <c r="F4952" s="134"/>
      <c r="G4952" s="135" t="s">
        <v>386</v>
      </c>
      <c r="H4952" s="136"/>
      <c r="I4952" s="137">
        <f>SUM(I4950:I4951)</f>
        <v>380717</v>
      </c>
    </row>
    <row r="4953" spans="2:10" ht="15.95" customHeight="1" thickBot="1" x14ac:dyDescent="0.3">
      <c r="C4953" s="116" t="s">
        <v>387</v>
      </c>
      <c r="D4953" s="117" t="s">
        <v>388</v>
      </c>
      <c r="E4953" s="118"/>
      <c r="F4953" s="118"/>
      <c r="G4953" s="165"/>
      <c r="H4953" s="144">
        <f>IF(AND(D4953&lt;&gt;"",F4953&lt;&gt;""),IF(C4953="",IF(F4953="OH",VLOOKUP(D4953,[1]UPAH!$B$3:$G$32,7,0),VLOOKUP(D4953,[1]BAHAN!$A$2:$D$3,4,0)),0),0)</f>
        <v>0</v>
      </c>
      <c r="I4953" s="126">
        <f>G4953*H4953</f>
        <v>0</v>
      </c>
    </row>
    <row r="4954" spans="2:10" ht="15.95" customHeight="1" thickBot="1" x14ac:dyDescent="0.3">
      <c r="C4954" s="132"/>
      <c r="D4954" s="133"/>
      <c r="E4954" s="134"/>
      <c r="F4954" s="134"/>
      <c r="G4954" s="135" t="s">
        <v>389</v>
      </c>
      <c r="H4954" s="136"/>
      <c r="I4954" s="137">
        <f>I4953</f>
        <v>0</v>
      </c>
    </row>
    <row r="4955" spans="2:10" ht="15.95" customHeight="1" x14ac:dyDescent="0.25">
      <c r="C4955" s="158" t="s">
        <v>390</v>
      </c>
      <c r="D4955" s="159" t="s">
        <v>391</v>
      </c>
      <c r="E4955" s="160"/>
      <c r="F4955" s="160"/>
      <c r="G4955" s="161"/>
      <c r="H4955" s="162">
        <f>IF(AND(D4955&lt;&gt;"",F4955&lt;&gt;""),IF(C4955="",IF(F4955="OH",VLOOKUP(D4955,[1]UPAH!$B$3:$G$32,7,0),VLOOKUP(D4955,[1]BAHAN!$A$2:$D$3,4,0)),0),0)</f>
        <v>0</v>
      </c>
      <c r="I4955" s="126">
        <f>SUM(I4944:I4954)/2</f>
        <v>416717</v>
      </c>
    </row>
    <row r="4956" spans="2:10" ht="15.95" customHeight="1" thickBot="1" x14ac:dyDescent="0.3">
      <c r="C4956" s="147" t="s">
        <v>392</v>
      </c>
      <c r="D4956" s="148" t="s">
        <v>393</v>
      </c>
      <c r="E4956" s="149"/>
      <c r="F4956" s="149"/>
      <c r="G4956" s="164">
        <v>0.1</v>
      </c>
      <c r="H4956" s="151"/>
      <c r="I4956" s="146">
        <f>G4956*I4955</f>
        <v>41671.700000000004</v>
      </c>
    </row>
    <row r="4957" spans="2:10" ht="15.95" customHeight="1" thickBot="1" x14ac:dyDescent="0.3">
      <c r="C4957" s="111" t="s">
        <v>394</v>
      </c>
      <c r="D4957" s="112" t="s">
        <v>395</v>
      </c>
      <c r="E4957" s="134"/>
      <c r="F4957" s="134"/>
      <c r="G4957" s="156"/>
      <c r="H4957" s="136">
        <f>IF(AND(D4957&lt;&gt;"",F4957&lt;&gt;""),IF(C4957="",IF(F4957="OH",VLOOKUP(D4957,[1]UPAH!$B$3:$G$32,7,0),VLOOKUP(D4957,[1]BAHAN!$A$2:$D$3,4,0)),0),0)</f>
        <v>0</v>
      </c>
      <c r="I4957" s="137">
        <f>ROUNDDOWN(I4955+I4956,0)</f>
        <v>458388</v>
      </c>
    </row>
    <row r="4958" spans="2:10" ht="15.95" customHeight="1" x14ac:dyDescent="0.25">
      <c r="C4958" s="109"/>
      <c r="D4958" s="109"/>
      <c r="G4958" s="157"/>
    </row>
    <row r="4959" spans="2:10" ht="15.95" customHeight="1" thickBot="1" x14ac:dyDescent="0.3">
      <c r="B4959" s="109" t="s">
        <v>1173</v>
      </c>
      <c r="C4959" s="104" t="s">
        <v>1174</v>
      </c>
      <c r="G4959" s="157"/>
      <c r="J4959" s="110">
        <f>I4975</f>
        <v>293993</v>
      </c>
    </row>
    <row r="4960" spans="2:10" ht="15.95" customHeight="1" thickBot="1" x14ac:dyDescent="0.3">
      <c r="C4960" s="111" t="s">
        <v>328</v>
      </c>
      <c r="D4960" s="112" t="s">
        <v>359</v>
      </c>
      <c r="E4960" s="113" t="s">
        <v>360</v>
      </c>
      <c r="F4960" s="113" t="s">
        <v>330</v>
      </c>
      <c r="G4960" s="114" t="s">
        <v>361</v>
      </c>
      <c r="H4960" s="112" t="s">
        <v>362</v>
      </c>
      <c r="I4960" s="115" t="s">
        <v>363</v>
      </c>
    </row>
    <row r="4961" spans="3:9" ht="15.95" customHeight="1" x14ac:dyDescent="0.25">
      <c r="C4961" s="116" t="s">
        <v>364</v>
      </c>
      <c r="D4961" s="117" t="s">
        <v>365</v>
      </c>
      <c r="E4961" s="118"/>
      <c r="F4961" s="118"/>
      <c r="G4961" s="165"/>
      <c r="H4961" s="144"/>
      <c r="I4961" s="126"/>
    </row>
    <row r="4962" spans="3:9" ht="15.95" customHeight="1" x14ac:dyDescent="0.25">
      <c r="C4962" s="122"/>
      <c r="D4962" s="117" t="s">
        <v>366</v>
      </c>
      <c r="E4962" s="123" t="s">
        <v>367</v>
      </c>
      <c r="F4962" s="123" t="s">
        <v>368</v>
      </c>
      <c r="G4962" s="124">
        <v>0.1</v>
      </c>
      <c r="H4962" s="125">
        <f>VLOOKUP(D4962,Upah,8,FALSE)</f>
        <v>125000</v>
      </c>
      <c r="I4962" s="126">
        <f>G4962*H4962</f>
        <v>12500</v>
      </c>
    </row>
    <row r="4963" spans="3:9" ht="15.95" customHeight="1" x14ac:dyDescent="0.25">
      <c r="C4963" s="122"/>
      <c r="D4963" s="117" t="s">
        <v>611</v>
      </c>
      <c r="E4963" s="123" t="s">
        <v>370</v>
      </c>
      <c r="F4963" s="123" t="s">
        <v>368</v>
      </c>
      <c r="G4963" s="124">
        <v>0.1</v>
      </c>
      <c r="H4963" s="125">
        <f>VLOOKUP(D4963,Upah,8,FALSE)</f>
        <v>150000</v>
      </c>
      <c r="I4963" s="126">
        <f>G4963*H4963</f>
        <v>15000</v>
      </c>
    </row>
    <row r="4964" spans="3:9" ht="15.95" customHeight="1" x14ac:dyDescent="0.25">
      <c r="C4964" s="122"/>
      <c r="D4964" s="117" t="s">
        <v>429</v>
      </c>
      <c r="E4964" s="123" t="s">
        <v>372</v>
      </c>
      <c r="F4964" s="123" t="s">
        <v>368</v>
      </c>
      <c r="G4964" s="124">
        <v>0.01</v>
      </c>
      <c r="H4964" s="125">
        <f>VLOOKUP(D4964,Upah,8,FALSE)</f>
        <v>165000</v>
      </c>
      <c r="I4964" s="126">
        <f>G4964*H4964</f>
        <v>1650</v>
      </c>
    </row>
    <row r="4965" spans="3:9" ht="15.95" customHeight="1" thickBot="1" x14ac:dyDescent="0.3">
      <c r="C4965" s="122"/>
      <c r="D4965" s="117" t="s">
        <v>373</v>
      </c>
      <c r="E4965" s="123" t="s">
        <v>374</v>
      </c>
      <c r="F4965" s="123" t="s">
        <v>368</v>
      </c>
      <c r="G4965" s="124">
        <v>5.0000000000000001E-3</v>
      </c>
      <c r="H4965" s="125">
        <f>VLOOKUP(D4965,Upah,8,FALSE)</f>
        <v>170000</v>
      </c>
      <c r="I4965" s="126">
        <f>G4965*H4965</f>
        <v>850</v>
      </c>
    </row>
    <row r="4966" spans="3:9" ht="15.95" customHeight="1" thickBot="1" x14ac:dyDescent="0.3">
      <c r="C4966" s="132"/>
      <c r="D4966" s="133"/>
      <c r="E4966" s="134"/>
      <c r="F4966" s="134"/>
      <c r="G4966" s="135" t="s">
        <v>375</v>
      </c>
      <c r="H4966" s="136"/>
      <c r="I4966" s="137">
        <f>SUM(I4962:I4965)</f>
        <v>30000</v>
      </c>
    </row>
    <row r="4967" spans="3:9" ht="15.95" customHeight="1" x14ac:dyDescent="0.25">
      <c r="C4967" s="116" t="s">
        <v>376</v>
      </c>
      <c r="D4967" s="117" t="s">
        <v>377</v>
      </c>
      <c r="E4967" s="118"/>
      <c r="F4967" s="118"/>
      <c r="G4967" s="165"/>
      <c r="H4967" s="144"/>
      <c r="I4967" s="126"/>
    </row>
    <row r="4968" spans="3:9" ht="15.95" customHeight="1" x14ac:dyDescent="0.25">
      <c r="C4968" s="122"/>
      <c r="D4968" s="117" t="s">
        <v>1175</v>
      </c>
      <c r="E4968" s="118"/>
      <c r="F4968" s="123" t="s">
        <v>621</v>
      </c>
      <c r="G4968" s="124">
        <v>1.5</v>
      </c>
      <c r="H4968" s="144">
        <f>VLOOKUP(D4968,Bahan,6,FALSE)</f>
        <v>157440</v>
      </c>
      <c r="I4968" s="126">
        <f>G4968*H4968</f>
        <v>236160</v>
      </c>
    </row>
    <row r="4969" spans="3:9" ht="15.95" customHeight="1" thickBot="1" x14ac:dyDescent="0.3">
      <c r="C4969" s="122"/>
      <c r="D4969" s="117" t="s">
        <v>1166</v>
      </c>
      <c r="E4969" s="118"/>
      <c r="F4969" s="123" t="s">
        <v>133</v>
      </c>
      <c r="G4969" s="124">
        <v>0.05</v>
      </c>
      <c r="H4969" s="144">
        <f>VLOOKUP(D4969,Bahan,6,FALSE)</f>
        <v>22140</v>
      </c>
      <c r="I4969" s="126">
        <f>G4969*H4969</f>
        <v>1107</v>
      </c>
    </row>
    <row r="4970" spans="3:9" ht="15.95" customHeight="1" thickBot="1" x14ac:dyDescent="0.3">
      <c r="C4970" s="132"/>
      <c r="D4970" s="133"/>
      <c r="E4970" s="134"/>
      <c r="F4970" s="134"/>
      <c r="G4970" s="135" t="s">
        <v>386</v>
      </c>
      <c r="H4970" s="136"/>
      <c r="I4970" s="137">
        <f>SUM(I4968:I4969)</f>
        <v>237267</v>
      </c>
    </row>
    <row r="4971" spans="3:9" ht="15.95" customHeight="1" thickBot="1" x14ac:dyDescent="0.3">
      <c r="C4971" s="116" t="s">
        <v>387</v>
      </c>
      <c r="D4971" s="117" t="s">
        <v>388</v>
      </c>
      <c r="E4971" s="118"/>
      <c r="F4971" s="118"/>
      <c r="G4971" s="165"/>
      <c r="H4971" s="144">
        <f>IF(AND(D4971&lt;&gt;"",F4971&lt;&gt;""),IF(C4971="",IF(F4971="OH",VLOOKUP(D4971,[1]UPAH!$B$3:$G$32,7,0),VLOOKUP(D4971,[1]BAHAN!$A$2:$D$3,4,0)),0),0)</f>
        <v>0</v>
      </c>
      <c r="I4971" s="126">
        <f>G4971*H4971</f>
        <v>0</v>
      </c>
    </row>
    <row r="4972" spans="3:9" ht="15.95" customHeight="1" thickBot="1" x14ac:dyDescent="0.3">
      <c r="C4972" s="132"/>
      <c r="D4972" s="133"/>
      <c r="E4972" s="134"/>
      <c r="F4972" s="134"/>
      <c r="G4972" s="135" t="s">
        <v>389</v>
      </c>
      <c r="H4972" s="136"/>
      <c r="I4972" s="137">
        <f>I4971</f>
        <v>0</v>
      </c>
    </row>
    <row r="4973" spans="3:9" ht="15.95" customHeight="1" x14ac:dyDescent="0.25">
      <c r="C4973" s="158" t="s">
        <v>390</v>
      </c>
      <c r="D4973" s="159" t="s">
        <v>391</v>
      </c>
      <c r="E4973" s="160"/>
      <c r="F4973" s="160"/>
      <c r="G4973" s="161"/>
      <c r="H4973" s="162">
        <f>IF(AND(D4973&lt;&gt;"",F4973&lt;&gt;""),IF(C4973="",IF(F4973="OH",VLOOKUP(D4973,[1]UPAH!$B$3:$G$32,7,0),VLOOKUP(D4973,[1]BAHAN!$A$2:$D$3,4,0)),0),0)</f>
        <v>0</v>
      </c>
      <c r="I4973" s="126">
        <f>SUM(I4962:I4972)/2</f>
        <v>267267</v>
      </c>
    </row>
    <row r="4974" spans="3:9" ht="15.95" customHeight="1" thickBot="1" x14ac:dyDescent="0.3">
      <c r="C4974" s="147" t="s">
        <v>392</v>
      </c>
      <c r="D4974" s="148" t="s">
        <v>393</v>
      </c>
      <c r="E4974" s="149"/>
      <c r="F4974" s="149"/>
      <c r="G4974" s="164">
        <v>0.1</v>
      </c>
      <c r="H4974" s="151"/>
      <c r="I4974" s="146">
        <f>G4974*I4973</f>
        <v>26726.7</v>
      </c>
    </row>
    <row r="4975" spans="3:9" ht="15.95" customHeight="1" thickBot="1" x14ac:dyDescent="0.3">
      <c r="C4975" s="111" t="s">
        <v>394</v>
      </c>
      <c r="D4975" s="112" t="s">
        <v>395</v>
      </c>
      <c r="E4975" s="134"/>
      <c r="F4975" s="134"/>
      <c r="G4975" s="156"/>
      <c r="H4975" s="136">
        <f>IF(AND(D4975&lt;&gt;"",F4975&lt;&gt;""),IF(C4975="",IF(F4975="OH",VLOOKUP(D4975,[1]UPAH!$B$3:$G$32,7,0),VLOOKUP(D4975,[1]BAHAN!$A$2:$D$3,4,0)),0),0)</f>
        <v>0</v>
      </c>
      <c r="I4975" s="137">
        <f>ROUNDDOWN(I4973+I4974,0)</f>
        <v>293993</v>
      </c>
    </row>
    <row r="4976" spans="3:9" ht="15.95" customHeight="1" x14ac:dyDescent="0.25">
      <c r="C4976" s="109"/>
      <c r="D4976" s="109"/>
      <c r="G4976" s="157"/>
    </row>
    <row r="4977" spans="2:10" ht="15.95" customHeight="1" thickBot="1" x14ac:dyDescent="0.3">
      <c r="B4977" s="109" t="s">
        <v>1176</v>
      </c>
      <c r="C4977" s="104" t="s">
        <v>1177</v>
      </c>
      <c r="G4977" s="157"/>
      <c r="J4977" s="110">
        <f>I4993</f>
        <v>53113</v>
      </c>
    </row>
    <row r="4978" spans="2:10" ht="15.95" customHeight="1" thickBot="1" x14ac:dyDescent="0.3">
      <c r="C4978" s="111" t="s">
        <v>328</v>
      </c>
      <c r="D4978" s="112" t="s">
        <v>359</v>
      </c>
      <c r="E4978" s="113" t="s">
        <v>360</v>
      </c>
      <c r="F4978" s="113" t="s">
        <v>330</v>
      </c>
      <c r="G4978" s="114" t="s">
        <v>361</v>
      </c>
      <c r="H4978" s="112" t="s">
        <v>362</v>
      </c>
      <c r="I4978" s="115" t="s">
        <v>363</v>
      </c>
    </row>
    <row r="4979" spans="2:10" ht="15.95" customHeight="1" x14ac:dyDescent="0.25">
      <c r="C4979" s="116" t="s">
        <v>364</v>
      </c>
      <c r="D4979" s="117" t="s">
        <v>365</v>
      </c>
      <c r="E4979" s="118"/>
      <c r="F4979" s="118"/>
      <c r="G4979" s="165"/>
      <c r="H4979" s="144"/>
      <c r="I4979" s="126"/>
    </row>
    <row r="4980" spans="2:10" ht="15.95" customHeight="1" x14ac:dyDescent="0.25">
      <c r="C4980" s="122"/>
      <c r="D4980" s="117" t="s">
        <v>366</v>
      </c>
      <c r="E4980" s="123" t="s">
        <v>367</v>
      </c>
      <c r="F4980" s="123" t="s">
        <v>368</v>
      </c>
      <c r="G4980" s="124">
        <v>0.1</v>
      </c>
      <c r="H4980" s="125">
        <f>VLOOKUP(D4980,Upah,8,FALSE)</f>
        <v>125000</v>
      </c>
      <c r="I4980" s="126">
        <f>G4980*H4980</f>
        <v>12500</v>
      </c>
    </row>
    <row r="4981" spans="2:10" ht="15.95" customHeight="1" x14ac:dyDescent="0.25">
      <c r="C4981" s="122"/>
      <c r="D4981" s="117" t="s">
        <v>611</v>
      </c>
      <c r="E4981" s="123" t="s">
        <v>370</v>
      </c>
      <c r="F4981" s="123" t="s">
        <v>368</v>
      </c>
      <c r="G4981" s="124">
        <v>0.1</v>
      </c>
      <c r="H4981" s="125">
        <f>VLOOKUP(D4981,Upah,8,FALSE)</f>
        <v>150000</v>
      </c>
      <c r="I4981" s="126">
        <f>G4981*H4981</f>
        <v>15000</v>
      </c>
    </row>
    <row r="4982" spans="2:10" ht="15.95" customHeight="1" x14ac:dyDescent="0.25">
      <c r="C4982" s="122"/>
      <c r="D4982" s="117" t="s">
        <v>429</v>
      </c>
      <c r="E4982" s="123" t="s">
        <v>372</v>
      </c>
      <c r="F4982" s="123" t="s">
        <v>368</v>
      </c>
      <c r="G4982" s="124">
        <v>0.01</v>
      </c>
      <c r="H4982" s="125">
        <f>VLOOKUP(D4982,Upah,8,FALSE)</f>
        <v>165000</v>
      </c>
      <c r="I4982" s="126">
        <f>G4982*H4982</f>
        <v>1650</v>
      </c>
    </row>
    <row r="4983" spans="2:10" ht="15.95" customHeight="1" thickBot="1" x14ac:dyDescent="0.3">
      <c r="C4983" s="122"/>
      <c r="D4983" s="117" t="s">
        <v>373</v>
      </c>
      <c r="E4983" s="123" t="s">
        <v>374</v>
      </c>
      <c r="F4983" s="123" t="s">
        <v>368</v>
      </c>
      <c r="G4983" s="124">
        <v>5.0000000000000001E-3</v>
      </c>
      <c r="H4983" s="125">
        <f>VLOOKUP(D4983,Upah,8,FALSE)</f>
        <v>170000</v>
      </c>
      <c r="I4983" s="126">
        <f>G4983*H4983</f>
        <v>850</v>
      </c>
    </row>
    <row r="4984" spans="2:10" ht="15.95" customHeight="1" thickBot="1" x14ac:dyDescent="0.3">
      <c r="C4984" s="132"/>
      <c r="D4984" s="133"/>
      <c r="E4984" s="134"/>
      <c r="F4984" s="134"/>
      <c r="G4984" s="135" t="s">
        <v>375</v>
      </c>
      <c r="H4984" s="136"/>
      <c r="I4984" s="137">
        <f>SUM(I4980:I4983)</f>
        <v>30000</v>
      </c>
    </row>
    <row r="4985" spans="2:10" ht="15.95" customHeight="1" x14ac:dyDescent="0.25">
      <c r="C4985" s="116" t="s">
        <v>376</v>
      </c>
      <c r="D4985" s="117" t="s">
        <v>377</v>
      </c>
      <c r="E4985" s="118"/>
      <c r="F4985" s="118"/>
      <c r="G4985" s="165"/>
      <c r="H4985" s="144"/>
      <c r="I4985" s="126"/>
    </row>
    <row r="4986" spans="2:10" ht="15.95" customHeight="1" x14ac:dyDescent="0.25">
      <c r="C4986" s="122"/>
      <c r="D4986" s="117" t="s">
        <v>1178</v>
      </c>
      <c r="E4986" s="118"/>
      <c r="F4986" s="123" t="s">
        <v>621</v>
      </c>
      <c r="G4986" s="124">
        <v>0.375</v>
      </c>
      <c r="H4986" s="144">
        <f>VLOOKUP(D4986,Bahan,6,FALSE)</f>
        <v>46990</v>
      </c>
      <c r="I4986" s="126">
        <f>G4986*H4986</f>
        <v>17621.25</v>
      </c>
    </row>
    <row r="4987" spans="2:10" ht="15.95" customHeight="1" thickBot="1" x14ac:dyDescent="0.3">
      <c r="C4987" s="122"/>
      <c r="D4987" s="117" t="s">
        <v>1166</v>
      </c>
      <c r="E4987" s="118"/>
      <c r="F4987" s="123" t="s">
        <v>133</v>
      </c>
      <c r="G4987" s="124">
        <v>0.03</v>
      </c>
      <c r="H4987" s="144">
        <f>VLOOKUP(D4987,Bahan,6,FALSE)</f>
        <v>22140</v>
      </c>
      <c r="I4987" s="126">
        <f>G4987*H4987</f>
        <v>664.19999999999993</v>
      </c>
    </row>
    <row r="4988" spans="2:10" ht="15.95" customHeight="1" thickBot="1" x14ac:dyDescent="0.3">
      <c r="C4988" s="132"/>
      <c r="D4988" s="133"/>
      <c r="E4988" s="134"/>
      <c r="F4988" s="134"/>
      <c r="G4988" s="135" t="s">
        <v>386</v>
      </c>
      <c r="H4988" s="136"/>
      <c r="I4988" s="137">
        <f>SUM(I4986:I4987)</f>
        <v>18285.45</v>
      </c>
    </row>
    <row r="4989" spans="2:10" ht="15.95" customHeight="1" thickBot="1" x14ac:dyDescent="0.3">
      <c r="C4989" s="116" t="s">
        <v>387</v>
      </c>
      <c r="D4989" s="117" t="s">
        <v>388</v>
      </c>
      <c r="E4989" s="118"/>
      <c r="F4989" s="118"/>
      <c r="G4989" s="165"/>
      <c r="H4989" s="144">
        <f>IF(AND(D4989&lt;&gt;"",F4989&lt;&gt;""),IF(C4989="",IF(F4989="OH",VLOOKUP(D4989,[1]UPAH!$B$3:$G$32,7,0),VLOOKUP(D4989,[1]BAHAN!$A$2:$D$3,4,0)),0),0)</f>
        <v>0</v>
      </c>
      <c r="I4989" s="126">
        <f>G4989*H4989</f>
        <v>0</v>
      </c>
    </row>
    <row r="4990" spans="2:10" ht="15.95" customHeight="1" thickBot="1" x14ac:dyDescent="0.3">
      <c r="C4990" s="132"/>
      <c r="D4990" s="133"/>
      <c r="E4990" s="134"/>
      <c r="F4990" s="134"/>
      <c r="G4990" s="135" t="s">
        <v>389</v>
      </c>
      <c r="H4990" s="136"/>
      <c r="I4990" s="137">
        <f>I4989</f>
        <v>0</v>
      </c>
    </row>
    <row r="4991" spans="2:10" ht="15.95" customHeight="1" x14ac:dyDescent="0.25">
      <c r="C4991" s="158" t="s">
        <v>390</v>
      </c>
      <c r="D4991" s="159" t="s">
        <v>391</v>
      </c>
      <c r="E4991" s="160"/>
      <c r="F4991" s="160"/>
      <c r="G4991" s="161"/>
      <c r="H4991" s="162">
        <f>IF(AND(D4991&lt;&gt;"",F4991&lt;&gt;""),IF(C4991="",IF(F4991="OH",VLOOKUP(D4991,[1]UPAH!$B$3:$G$32,7,0),VLOOKUP(D4991,[1]BAHAN!$A$2:$D$3,4,0)),0),0)</f>
        <v>0</v>
      </c>
      <c r="I4991" s="126">
        <f>SUM(I4980:I4990)/2</f>
        <v>48285.45</v>
      </c>
    </row>
    <row r="4992" spans="2:10" ht="15.95" customHeight="1" thickBot="1" x14ac:dyDescent="0.3">
      <c r="C4992" s="147" t="s">
        <v>392</v>
      </c>
      <c r="D4992" s="148" t="s">
        <v>393</v>
      </c>
      <c r="E4992" s="149"/>
      <c r="F4992" s="149"/>
      <c r="G4992" s="164">
        <v>0.1</v>
      </c>
      <c r="H4992" s="151"/>
      <c r="I4992" s="146">
        <f>G4992*I4991</f>
        <v>4828.5450000000001</v>
      </c>
    </row>
    <row r="4993" spans="2:10" ht="15.95" customHeight="1" thickBot="1" x14ac:dyDescent="0.3">
      <c r="C4993" s="111" t="s">
        <v>394</v>
      </c>
      <c r="D4993" s="112" t="s">
        <v>395</v>
      </c>
      <c r="E4993" s="134"/>
      <c r="F4993" s="134"/>
      <c r="G4993" s="156"/>
      <c r="H4993" s="136">
        <f>IF(AND(D4993&lt;&gt;"",F4993&lt;&gt;""),IF(C4993="",IF(F4993="OH",VLOOKUP(D4993,[1]UPAH!$B$3:$G$32,7,0),VLOOKUP(D4993,[1]BAHAN!$A$2:$D$3,4,0)),0),0)</f>
        <v>0</v>
      </c>
      <c r="I4993" s="137">
        <f>ROUNDDOWN(I4991+I4992,0)</f>
        <v>53113</v>
      </c>
    </row>
    <row r="4994" spans="2:10" ht="15.95" customHeight="1" x14ac:dyDescent="0.25">
      <c r="C4994" s="109"/>
      <c r="D4994" s="109"/>
      <c r="G4994" s="157"/>
    </row>
    <row r="4995" spans="2:10" ht="15.95" customHeight="1" thickBot="1" x14ac:dyDescent="0.3">
      <c r="B4995" s="109" t="s">
        <v>1179</v>
      </c>
      <c r="C4995" s="104" t="s">
        <v>1180</v>
      </c>
      <c r="G4995" s="157"/>
      <c r="J4995" s="110">
        <f>I5011</f>
        <v>338493</v>
      </c>
    </row>
    <row r="4996" spans="2:10" ht="15.95" customHeight="1" thickBot="1" x14ac:dyDescent="0.3">
      <c r="C4996" s="111" t="s">
        <v>328</v>
      </c>
      <c r="D4996" s="112" t="s">
        <v>359</v>
      </c>
      <c r="E4996" s="113" t="s">
        <v>360</v>
      </c>
      <c r="F4996" s="113" t="s">
        <v>330</v>
      </c>
      <c r="G4996" s="114" t="s">
        <v>361</v>
      </c>
      <c r="H4996" s="112" t="s">
        <v>362</v>
      </c>
      <c r="I4996" s="115" t="s">
        <v>363</v>
      </c>
    </row>
    <row r="4997" spans="2:10" ht="15.95" customHeight="1" x14ac:dyDescent="0.25">
      <c r="C4997" s="116" t="s">
        <v>364</v>
      </c>
      <c r="D4997" s="117" t="s">
        <v>365</v>
      </c>
      <c r="E4997" s="118"/>
      <c r="F4997" s="118"/>
      <c r="G4997" s="165"/>
      <c r="H4997" s="144"/>
      <c r="I4997" s="126"/>
    </row>
    <row r="4998" spans="2:10" ht="15.95" customHeight="1" x14ac:dyDescent="0.25">
      <c r="C4998" s="122"/>
      <c r="D4998" s="117" t="s">
        <v>366</v>
      </c>
      <c r="E4998" s="123" t="s">
        <v>367</v>
      </c>
      <c r="F4998" s="123" t="s">
        <v>368</v>
      </c>
      <c r="G4998" s="124">
        <v>0.8</v>
      </c>
      <c r="H4998" s="125">
        <f>VLOOKUP(D4998,Upah,8,FALSE)</f>
        <v>125000</v>
      </c>
      <c r="I4998" s="126">
        <f>G4998*H4998</f>
        <v>100000</v>
      </c>
    </row>
    <row r="4999" spans="2:10" ht="15.95" customHeight="1" x14ac:dyDescent="0.25">
      <c r="C4999" s="122"/>
      <c r="D4999" s="117" t="s">
        <v>611</v>
      </c>
      <c r="E4999" s="123" t="s">
        <v>370</v>
      </c>
      <c r="F4999" s="123" t="s">
        <v>368</v>
      </c>
      <c r="G4999" s="124">
        <v>0.8</v>
      </c>
      <c r="H4999" s="125">
        <f>VLOOKUP(D4999,Upah,8,FALSE)</f>
        <v>150000</v>
      </c>
      <c r="I4999" s="126">
        <f>G4999*H4999</f>
        <v>120000</v>
      </c>
    </row>
    <row r="5000" spans="2:10" ht="15.95" customHeight="1" x14ac:dyDescent="0.25">
      <c r="C5000" s="122"/>
      <c r="D5000" s="117" t="s">
        <v>429</v>
      </c>
      <c r="E5000" s="123" t="s">
        <v>372</v>
      </c>
      <c r="F5000" s="123" t="s">
        <v>368</v>
      </c>
      <c r="G5000" s="124">
        <v>0.08</v>
      </c>
      <c r="H5000" s="125">
        <f>VLOOKUP(D5000,Upah,8,FALSE)</f>
        <v>165000</v>
      </c>
      <c r="I5000" s="126">
        <f>G5000*H5000</f>
        <v>13200</v>
      </c>
    </row>
    <row r="5001" spans="2:10" ht="15.95" customHeight="1" thickBot="1" x14ac:dyDescent="0.3">
      <c r="C5001" s="122"/>
      <c r="D5001" s="117" t="s">
        <v>373</v>
      </c>
      <c r="E5001" s="123" t="s">
        <v>374</v>
      </c>
      <c r="F5001" s="123" t="s">
        <v>368</v>
      </c>
      <c r="G5001" s="124">
        <v>0.04</v>
      </c>
      <c r="H5001" s="125">
        <f>VLOOKUP(D5001,Upah,8,FALSE)</f>
        <v>170000</v>
      </c>
      <c r="I5001" s="126">
        <f>G5001*H5001</f>
        <v>6800</v>
      </c>
    </row>
    <row r="5002" spans="2:10" ht="15.95" customHeight="1" thickBot="1" x14ac:dyDescent="0.3">
      <c r="C5002" s="132"/>
      <c r="D5002" s="133"/>
      <c r="E5002" s="134"/>
      <c r="F5002" s="134"/>
      <c r="G5002" s="135" t="s">
        <v>375</v>
      </c>
      <c r="H5002" s="136"/>
      <c r="I5002" s="137">
        <f>SUM(I4998:I5001)</f>
        <v>240000</v>
      </c>
    </row>
    <row r="5003" spans="2:10" ht="15.95" customHeight="1" x14ac:dyDescent="0.25">
      <c r="C5003" s="116" t="s">
        <v>376</v>
      </c>
      <c r="D5003" s="117" t="s">
        <v>377</v>
      </c>
      <c r="E5003" s="118"/>
      <c r="F5003" s="118"/>
      <c r="G5003" s="165"/>
      <c r="H5003" s="144"/>
      <c r="I5003" s="126"/>
    </row>
    <row r="5004" spans="2:10" ht="15.95" customHeight="1" x14ac:dyDescent="0.25">
      <c r="C5004" s="122"/>
      <c r="D5004" s="117" t="s">
        <v>1181</v>
      </c>
      <c r="E5004" s="118"/>
      <c r="F5004" s="123" t="s">
        <v>158</v>
      </c>
      <c r="G5004" s="124">
        <v>1.4999999999999999E-2</v>
      </c>
      <c r="H5004" s="144">
        <f>VLOOKUP(D5004,Bahan,6,FALSE)</f>
        <v>4500000</v>
      </c>
      <c r="I5004" s="126">
        <f>G5004*H5004</f>
        <v>67500</v>
      </c>
    </row>
    <row r="5005" spans="2:10" ht="15.95" customHeight="1" thickBot="1" x14ac:dyDescent="0.3">
      <c r="C5005" s="122"/>
      <c r="D5005" s="117" t="s">
        <v>1166</v>
      </c>
      <c r="E5005" s="118"/>
      <c r="F5005" s="123" t="s">
        <v>133</v>
      </c>
      <c r="G5005" s="124">
        <v>0.01</v>
      </c>
      <c r="H5005" s="144">
        <f>VLOOKUP(D5005,Bahan,6,FALSE)</f>
        <v>22140</v>
      </c>
      <c r="I5005" s="126">
        <f>G5005*H5005</f>
        <v>221.4</v>
      </c>
    </row>
    <row r="5006" spans="2:10" ht="15.95" customHeight="1" thickBot="1" x14ac:dyDescent="0.3">
      <c r="C5006" s="132"/>
      <c r="D5006" s="133"/>
      <c r="E5006" s="134"/>
      <c r="F5006" s="134"/>
      <c r="G5006" s="135" t="s">
        <v>386</v>
      </c>
      <c r="H5006" s="136"/>
      <c r="I5006" s="137">
        <f>SUM(I5004:I5005)</f>
        <v>67721.399999999994</v>
      </c>
    </row>
    <row r="5007" spans="2:10" ht="15.95" customHeight="1" thickBot="1" x14ac:dyDescent="0.3">
      <c r="C5007" s="116" t="s">
        <v>387</v>
      </c>
      <c r="D5007" s="117" t="s">
        <v>388</v>
      </c>
      <c r="E5007" s="118"/>
      <c r="F5007" s="118"/>
      <c r="G5007" s="165"/>
      <c r="H5007" s="144">
        <f>IF(AND(D5007&lt;&gt;"",F5007&lt;&gt;""),IF(C5007="",IF(F5007="OH",VLOOKUP(D5007,[1]UPAH!$B$3:$G$32,7,0),VLOOKUP(D5007,[1]BAHAN!$A$2:$D$3,4,0)),0),0)</f>
        <v>0</v>
      </c>
      <c r="I5007" s="126">
        <f>G5007*H5007</f>
        <v>0</v>
      </c>
    </row>
    <row r="5008" spans="2:10" ht="15.95" customHeight="1" thickBot="1" x14ac:dyDescent="0.3">
      <c r="C5008" s="132"/>
      <c r="D5008" s="133"/>
      <c r="E5008" s="134"/>
      <c r="F5008" s="134"/>
      <c r="G5008" s="135" t="s">
        <v>389</v>
      </c>
      <c r="H5008" s="136"/>
      <c r="I5008" s="137">
        <f>I5007</f>
        <v>0</v>
      </c>
    </row>
    <row r="5009" spans="1:10" ht="15.95" customHeight="1" x14ac:dyDescent="0.25">
      <c r="C5009" s="158" t="s">
        <v>390</v>
      </c>
      <c r="D5009" s="159" t="s">
        <v>391</v>
      </c>
      <c r="E5009" s="160"/>
      <c r="F5009" s="160"/>
      <c r="G5009" s="161"/>
      <c r="H5009" s="162">
        <f>IF(AND(D5009&lt;&gt;"",F5009&lt;&gt;""),IF(C5009="",IF(F5009="OH",VLOOKUP(D5009,[1]UPAH!$B$3:$G$32,7,0),VLOOKUP(D5009,[1]BAHAN!$A$2:$D$3,4,0)),0),0)</f>
        <v>0</v>
      </c>
      <c r="I5009" s="126">
        <f>SUM(I4998:I5008)/2</f>
        <v>307721.40000000002</v>
      </c>
    </row>
    <row r="5010" spans="1:10" ht="15.95" customHeight="1" thickBot="1" x14ac:dyDescent="0.3">
      <c r="C5010" s="147" t="s">
        <v>392</v>
      </c>
      <c r="D5010" s="148" t="s">
        <v>393</v>
      </c>
      <c r="E5010" s="149"/>
      <c r="F5010" s="149"/>
      <c r="G5010" s="164">
        <v>0.1</v>
      </c>
      <c r="H5010" s="151"/>
      <c r="I5010" s="146">
        <f>G5010*I5009</f>
        <v>30772.140000000003</v>
      </c>
    </row>
    <row r="5011" spans="1:10" ht="15.95" customHeight="1" thickBot="1" x14ac:dyDescent="0.3">
      <c r="C5011" s="111" t="s">
        <v>394</v>
      </c>
      <c r="D5011" s="112" t="s">
        <v>395</v>
      </c>
      <c r="E5011" s="134"/>
      <c r="F5011" s="134"/>
      <c r="G5011" s="156"/>
      <c r="H5011" s="136">
        <f>IF(AND(D5011&lt;&gt;"",F5011&lt;&gt;""),IF(C5011="",IF(F5011="OH",VLOOKUP(D5011,[1]UPAH!$B$3:$G$32,7,0),VLOOKUP(D5011,[1]BAHAN!$A$2:$D$3,4,0)),0),0)</f>
        <v>0</v>
      </c>
      <c r="I5011" s="137">
        <f>ROUNDDOWN(I5009+I5010,0)</f>
        <v>338493</v>
      </c>
    </row>
    <row r="5012" spans="1:10" ht="15.95" customHeight="1" x14ac:dyDescent="0.25">
      <c r="C5012" s="109"/>
      <c r="D5012" s="109"/>
      <c r="G5012" s="157"/>
    </row>
    <row r="5013" spans="1:10" ht="15.95" customHeight="1" thickBot="1" x14ac:dyDescent="0.3">
      <c r="A5013" s="209"/>
      <c r="B5013" s="247" t="s">
        <v>1182</v>
      </c>
      <c r="C5013" s="104" t="s">
        <v>1183</v>
      </c>
      <c r="G5013" s="157"/>
      <c r="J5013" s="110">
        <f>I5029</f>
        <v>64700</v>
      </c>
    </row>
    <row r="5014" spans="1:10" ht="15.95" customHeight="1" thickBot="1" x14ac:dyDescent="0.3">
      <c r="C5014" s="111" t="s">
        <v>328</v>
      </c>
      <c r="D5014" s="112" t="s">
        <v>359</v>
      </c>
      <c r="E5014" s="113" t="s">
        <v>360</v>
      </c>
      <c r="F5014" s="113" t="s">
        <v>330</v>
      </c>
      <c r="G5014" s="114" t="s">
        <v>361</v>
      </c>
      <c r="H5014" s="112" t="s">
        <v>362</v>
      </c>
      <c r="I5014" s="115" t="s">
        <v>363</v>
      </c>
    </row>
    <row r="5015" spans="1:10" ht="15.95" customHeight="1" x14ac:dyDescent="0.25">
      <c r="C5015" s="116" t="s">
        <v>364</v>
      </c>
      <c r="D5015" s="117" t="s">
        <v>365</v>
      </c>
      <c r="E5015" s="118"/>
      <c r="F5015" s="118"/>
      <c r="G5015" s="165"/>
      <c r="H5015" s="144"/>
      <c r="I5015" s="126"/>
    </row>
    <row r="5016" spans="1:10" ht="15.95" customHeight="1" x14ac:dyDescent="0.25">
      <c r="C5016" s="122"/>
      <c r="D5016" s="117" t="s">
        <v>366</v>
      </c>
      <c r="E5016" s="123" t="s">
        <v>367</v>
      </c>
      <c r="F5016" s="123" t="s">
        <v>368</v>
      </c>
      <c r="G5016" s="124">
        <v>0.1</v>
      </c>
      <c r="H5016" s="125">
        <f>VLOOKUP(D5016,Upah,8,FALSE)</f>
        <v>125000</v>
      </c>
      <c r="I5016" s="126">
        <f>G5016*H5016</f>
        <v>12500</v>
      </c>
    </row>
    <row r="5017" spans="1:10" ht="15.95" customHeight="1" x14ac:dyDescent="0.25">
      <c r="C5017" s="122"/>
      <c r="D5017" s="117" t="s">
        <v>611</v>
      </c>
      <c r="E5017" s="123" t="s">
        <v>370</v>
      </c>
      <c r="F5017" s="123" t="s">
        <v>368</v>
      </c>
      <c r="G5017" s="124">
        <v>0.05</v>
      </c>
      <c r="H5017" s="125">
        <f>VLOOKUP(D5017,Upah,8,FALSE)</f>
        <v>150000</v>
      </c>
      <c r="I5017" s="126">
        <f>G5017*H5017</f>
        <v>7500</v>
      </c>
    </row>
    <row r="5018" spans="1:10" ht="15.95" customHeight="1" x14ac:dyDescent="0.25">
      <c r="C5018" s="122"/>
      <c r="D5018" s="117" t="s">
        <v>429</v>
      </c>
      <c r="E5018" s="123" t="s">
        <v>372</v>
      </c>
      <c r="F5018" s="123" t="s">
        <v>368</v>
      </c>
      <c r="G5018" s="124">
        <v>5.0000000000000001E-3</v>
      </c>
      <c r="H5018" s="125">
        <f>VLOOKUP(D5018,Upah,8,FALSE)</f>
        <v>165000</v>
      </c>
      <c r="I5018" s="126">
        <f>G5018*H5018</f>
        <v>825</v>
      </c>
    </row>
    <row r="5019" spans="1:10" ht="15.95" customHeight="1" thickBot="1" x14ac:dyDescent="0.3">
      <c r="C5019" s="122"/>
      <c r="D5019" s="117" t="s">
        <v>373</v>
      </c>
      <c r="E5019" s="123" t="s">
        <v>374</v>
      </c>
      <c r="F5019" s="123" t="s">
        <v>368</v>
      </c>
      <c r="G5019" s="124">
        <v>5.0000000000000001E-3</v>
      </c>
      <c r="H5019" s="125">
        <f>VLOOKUP(D5019,Upah,8,FALSE)</f>
        <v>170000</v>
      </c>
      <c r="I5019" s="126">
        <f>G5019*H5019</f>
        <v>850</v>
      </c>
    </row>
    <row r="5020" spans="1:10" ht="15.95" customHeight="1" thickBot="1" x14ac:dyDescent="0.3">
      <c r="C5020" s="132"/>
      <c r="D5020" s="133"/>
      <c r="E5020" s="134"/>
      <c r="F5020" s="134"/>
      <c r="G5020" s="135" t="s">
        <v>375</v>
      </c>
      <c r="H5020" s="136"/>
      <c r="I5020" s="137">
        <f>SUM(I5016:I5019)</f>
        <v>21675</v>
      </c>
    </row>
    <row r="5021" spans="1:10" ht="15.95" customHeight="1" x14ac:dyDescent="0.25">
      <c r="C5021" s="116" t="s">
        <v>376</v>
      </c>
      <c r="D5021" s="117" t="s">
        <v>377</v>
      </c>
      <c r="E5021" s="118"/>
      <c r="F5021" s="118"/>
      <c r="G5021" s="165"/>
      <c r="H5021" s="144"/>
      <c r="I5021" s="126"/>
    </row>
    <row r="5022" spans="1:10" ht="15.95" customHeight="1" x14ac:dyDescent="0.25">
      <c r="C5022" s="122"/>
      <c r="D5022" s="117" t="s">
        <v>1184</v>
      </c>
      <c r="E5022" s="118"/>
      <c r="F5022" s="123" t="s">
        <v>621</v>
      </c>
      <c r="G5022" s="124">
        <v>0.36399999999999999</v>
      </c>
      <c r="H5022" s="144">
        <f>VLOOKUP(D5022,Bahan,6,FALSE)</f>
        <v>101790</v>
      </c>
      <c r="I5022" s="126">
        <f>G5022*H5022</f>
        <v>37051.56</v>
      </c>
    </row>
    <row r="5023" spans="1:10" ht="15.95" customHeight="1" thickBot="1" x14ac:dyDescent="0.3">
      <c r="C5023" s="122"/>
      <c r="D5023" s="117" t="s">
        <v>788</v>
      </c>
      <c r="E5023" s="118"/>
      <c r="F5023" s="123" t="s">
        <v>133</v>
      </c>
      <c r="G5023" s="124">
        <v>0.11</v>
      </c>
      <c r="H5023" s="144">
        <f>VLOOKUP(D5023,Bahan,6,FALSE)</f>
        <v>840</v>
      </c>
      <c r="I5023" s="126">
        <f>G5023*H5023</f>
        <v>92.4</v>
      </c>
    </row>
    <row r="5024" spans="1:10" ht="15.95" customHeight="1" thickBot="1" x14ac:dyDescent="0.3">
      <c r="C5024" s="132"/>
      <c r="D5024" s="133"/>
      <c r="E5024" s="134"/>
      <c r="F5024" s="134"/>
      <c r="G5024" s="135" t="s">
        <v>386</v>
      </c>
      <c r="H5024" s="136"/>
      <c r="I5024" s="137">
        <f>SUM(I5022:I5023)</f>
        <v>37143.96</v>
      </c>
    </row>
    <row r="5025" spans="2:10" ht="15.95" customHeight="1" thickBot="1" x14ac:dyDescent="0.3">
      <c r="C5025" s="116" t="s">
        <v>387</v>
      </c>
      <c r="D5025" s="117" t="s">
        <v>388</v>
      </c>
      <c r="E5025" s="118"/>
      <c r="F5025" s="118"/>
      <c r="G5025" s="165"/>
      <c r="H5025" s="144">
        <f>IF(AND(D5025&lt;&gt;"",F5025&lt;&gt;""),IF(C5025="",IF(F5025="OH",VLOOKUP(D5025,[1]UPAH!$B$3:$G$32,7,0),VLOOKUP(D5025,[1]BAHAN!$A$2:$D$3,4,0)),0),0)</f>
        <v>0</v>
      </c>
      <c r="I5025" s="126">
        <f>G5025*H5025</f>
        <v>0</v>
      </c>
    </row>
    <row r="5026" spans="2:10" ht="15.95" customHeight="1" thickBot="1" x14ac:dyDescent="0.3">
      <c r="C5026" s="132"/>
      <c r="D5026" s="133"/>
      <c r="E5026" s="134"/>
      <c r="F5026" s="134"/>
      <c r="G5026" s="135" t="s">
        <v>389</v>
      </c>
      <c r="H5026" s="136"/>
      <c r="I5026" s="137">
        <f>I5025</f>
        <v>0</v>
      </c>
    </row>
    <row r="5027" spans="2:10" ht="15.95" customHeight="1" x14ac:dyDescent="0.25">
      <c r="C5027" s="158" t="s">
        <v>390</v>
      </c>
      <c r="D5027" s="159" t="s">
        <v>391</v>
      </c>
      <c r="E5027" s="160"/>
      <c r="F5027" s="160"/>
      <c r="G5027" s="161"/>
      <c r="H5027" s="162">
        <f>IF(AND(D5027&lt;&gt;"",F5027&lt;&gt;""),IF(C5027="",IF(F5027="OH",VLOOKUP(D5027,[1]UPAH!$B$3:$G$32,7,0),VLOOKUP(D5027,[1]BAHAN!$A$2:$D$3,4,0)),0),0)</f>
        <v>0</v>
      </c>
      <c r="I5027" s="126">
        <f>SUM(I5016:I5026)/2</f>
        <v>58818.959999999992</v>
      </c>
    </row>
    <row r="5028" spans="2:10" ht="15.95" customHeight="1" thickBot="1" x14ac:dyDescent="0.3">
      <c r="C5028" s="147" t="s">
        <v>392</v>
      </c>
      <c r="D5028" s="148" t="s">
        <v>393</v>
      </c>
      <c r="E5028" s="149"/>
      <c r="F5028" s="149"/>
      <c r="G5028" s="164">
        <v>0.1</v>
      </c>
      <c r="H5028" s="151"/>
      <c r="I5028" s="146">
        <f>G5028*I5027</f>
        <v>5881.8959999999997</v>
      </c>
    </row>
    <row r="5029" spans="2:10" ht="15.95" customHeight="1" thickBot="1" x14ac:dyDescent="0.3">
      <c r="C5029" s="111" t="s">
        <v>394</v>
      </c>
      <c r="D5029" s="112" t="s">
        <v>395</v>
      </c>
      <c r="E5029" s="134"/>
      <c r="F5029" s="134"/>
      <c r="G5029" s="156"/>
      <c r="H5029" s="136">
        <f>IF(AND(D5029&lt;&gt;"",F5029&lt;&gt;""),IF(C5029="",IF(F5029="OH",VLOOKUP(D5029,[1]UPAH!$B$3:$G$32,7,0),VLOOKUP(D5029,[1]BAHAN!$A$2:$D$3,4,0)),0),0)</f>
        <v>0</v>
      </c>
      <c r="I5029" s="137">
        <f>ROUNDDOWN(I5027+I5028,0)</f>
        <v>64700</v>
      </c>
    </row>
    <row r="5030" spans="2:10" ht="15.95" customHeight="1" x14ac:dyDescent="0.25">
      <c r="C5030" s="109"/>
      <c r="D5030" s="109"/>
      <c r="G5030" s="157"/>
    </row>
    <row r="5031" spans="2:10" ht="15.95" customHeight="1" thickBot="1" x14ac:dyDescent="0.3">
      <c r="B5031" s="247" t="s">
        <v>1185</v>
      </c>
      <c r="C5031" s="104" t="s">
        <v>1883</v>
      </c>
      <c r="G5031" s="157"/>
      <c r="J5031" s="110">
        <f>I5047</f>
        <v>41910</v>
      </c>
    </row>
    <row r="5032" spans="2:10" ht="15.95" customHeight="1" thickBot="1" x14ac:dyDescent="0.3">
      <c r="C5032" s="111" t="s">
        <v>328</v>
      </c>
      <c r="D5032" s="112" t="s">
        <v>359</v>
      </c>
      <c r="E5032" s="113" t="s">
        <v>360</v>
      </c>
      <c r="F5032" s="113" t="s">
        <v>330</v>
      </c>
      <c r="G5032" s="114" t="s">
        <v>361</v>
      </c>
      <c r="H5032" s="112" t="s">
        <v>362</v>
      </c>
      <c r="I5032" s="115" t="s">
        <v>363</v>
      </c>
    </row>
    <row r="5033" spans="2:10" ht="15.95" customHeight="1" x14ac:dyDescent="0.25">
      <c r="C5033" s="116" t="s">
        <v>364</v>
      </c>
      <c r="D5033" s="117" t="s">
        <v>365</v>
      </c>
      <c r="E5033" s="118"/>
      <c r="F5033" s="118"/>
      <c r="G5033" s="165"/>
      <c r="H5033" s="144"/>
      <c r="I5033" s="126"/>
    </row>
    <row r="5034" spans="2:10" ht="15.95" customHeight="1" x14ac:dyDescent="0.25">
      <c r="C5034" s="122"/>
      <c r="D5034" s="117" t="s">
        <v>366</v>
      </c>
      <c r="E5034" s="123" t="s">
        <v>367</v>
      </c>
      <c r="F5034" s="123" t="s">
        <v>368</v>
      </c>
      <c r="G5034" s="124">
        <v>0.06</v>
      </c>
      <c r="H5034" s="125">
        <f>VLOOKUP(D5034,Upah,8,FALSE)</f>
        <v>125000</v>
      </c>
      <c r="I5034" s="126">
        <f>G5034*H5034</f>
        <v>7500</v>
      </c>
    </row>
    <row r="5035" spans="2:10" ht="15.95" customHeight="1" x14ac:dyDescent="0.25">
      <c r="C5035" s="122"/>
      <c r="D5035" s="117" t="s">
        <v>369</v>
      </c>
      <c r="E5035" s="123" t="s">
        <v>370</v>
      </c>
      <c r="F5035" s="123" t="s">
        <v>368</v>
      </c>
      <c r="G5035" s="124">
        <v>0.06</v>
      </c>
      <c r="H5035" s="125">
        <f>VLOOKUP(D5035,Upah,8,FALSE)</f>
        <v>150000</v>
      </c>
      <c r="I5035" s="126">
        <f>G5035*H5035</f>
        <v>9000</v>
      </c>
    </row>
    <row r="5036" spans="2:10" ht="15.95" customHeight="1" x14ac:dyDescent="0.25">
      <c r="C5036" s="122"/>
      <c r="D5036" s="117" t="s">
        <v>429</v>
      </c>
      <c r="E5036" s="123" t="s">
        <v>372</v>
      </c>
      <c r="F5036" s="123" t="s">
        <v>368</v>
      </c>
      <c r="G5036" s="124">
        <v>6.0000000000000001E-3</v>
      </c>
      <c r="H5036" s="125">
        <f>VLOOKUP(D5036,Upah,8,FALSE)</f>
        <v>165000</v>
      </c>
      <c r="I5036" s="126">
        <f>G5036*H5036</f>
        <v>990</v>
      </c>
    </row>
    <row r="5037" spans="2:10" ht="15.95" customHeight="1" thickBot="1" x14ac:dyDescent="0.3">
      <c r="C5037" s="122"/>
      <c r="D5037" s="117" t="s">
        <v>373</v>
      </c>
      <c r="E5037" s="123" t="s">
        <v>374</v>
      </c>
      <c r="F5037" s="123" t="s">
        <v>368</v>
      </c>
      <c r="G5037" s="124">
        <v>3.0000000000000001E-3</v>
      </c>
      <c r="H5037" s="125">
        <f>VLOOKUP(D5037,Upah,8,FALSE)</f>
        <v>170000</v>
      </c>
      <c r="I5037" s="126">
        <f>G5037*H5037</f>
        <v>510</v>
      </c>
    </row>
    <row r="5038" spans="2:10" ht="15.95" customHeight="1" thickBot="1" x14ac:dyDescent="0.3">
      <c r="C5038" s="132"/>
      <c r="D5038" s="133"/>
      <c r="E5038" s="134"/>
      <c r="F5038" s="134"/>
      <c r="G5038" s="135" t="s">
        <v>375</v>
      </c>
      <c r="H5038" s="136"/>
      <c r="I5038" s="137">
        <f>SUM(I5034:I5037)</f>
        <v>18000</v>
      </c>
    </row>
    <row r="5039" spans="2:10" ht="15.95" customHeight="1" x14ac:dyDescent="0.25">
      <c r="C5039" s="116" t="s">
        <v>376</v>
      </c>
      <c r="D5039" s="117" t="s">
        <v>377</v>
      </c>
      <c r="E5039" s="118"/>
      <c r="F5039" s="118"/>
      <c r="G5039" s="165"/>
      <c r="H5039" s="144"/>
      <c r="I5039" s="126"/>
    </row>
    <row r="5040" spans="2:10" ht="15.95" customHeight="1" x14ac:dyDescent="0.25">
      <c r="C5040" s="122"/>
      <c r="D5040" s="117" t="s">
        <v>1884</v>
      </c>
      <c r="E5040" s="118"/>
      <c r="F5040" s="123" t="s">
        <v>127</v>
      </c>
      <c r="G5040" s="124">
        <v>1.05</v>
      </c>
      <c r="H5040" s="144">
        <f>VLOOKUP(D5040,Bahan,6,FALSE)</f>
        <v>15000</v>
      </c>
      <c r="I5040" s="126">
        <f>G5040*H5040</f>
        <v>15750</v>
      </c>
    </row>
    <row r="5041" spans="2:10" ht="15.95" customHeight="1" thickBot="1" x14ac:dyDescent="0.3">
      <c r="C5041" s="122"/>
      <c r="D5041" s="117" t="s">
        <v>1885</v>
      </c>
      <c r="E5041" s="118"/>
      <c r="F5041" s="123" t="s">
        <v>133</v>
      </c>
      <c r="G5041" s="124">
        <v>0.15</v>
      </c>
      <c r="H5041" s="144">
        <f>VLOOKUP(D5041,Bahan,6,FALSE)</f>
        <v>29000</v>
      </c>
      <c r="I5041" s="126">
        <f>G5041*H5041</f>
        <v>4350</v>
      </c>
    </row>
    <row r="5042" spans="2:10" ht="15.95" customHeight="1" thickBot="1" x14ac:dyDescent="0.3">
      <c r="C5042" s="132"/>
      <c r="D5042" s="133"/>
      <c r="E5042" s="134"/>
      <c r="F5042" s="134"/>
      <c r="G5042" s="135" t="s">
        <v>386</v>
      </c>
      <c r="H5042" s="136"/>
      <c r="I5042" s="137">
        <f>SUM(I5040:I5041)</f>
        <v>20100</v>
      </c>
    </row>
    <row r="5043" spans="2:10" ht="15.95" customHeight="1" thickBot="1" x14ac:dyDescent="0.3">
      <c r="C5043" s="116" t="s">
        <v>387</v>
      </c>
      <c r="D5043" s="117" t="s">
        <v>388</v>
      </c>
      <c r="E5043" s="118"/>
      <c r="F5043" s="118"/>
      <c r="G5043" s="165"/>
      <c r="H5043" s="144">
        <f>IF(AND(D5043&lt;&gt;"",F5043&lt;&gt;""),IF(C5043="",IF(F5043="OH",VLOOKUP(D5043,[1]UPAH!$B$3:$G$32,7,0),VLOOKUP(D5043,[1]BAHAN!$A$2:$D$3,4,0)),0),0)</f>
        <v>0</v>
      </c>
      <c r="I5043" s="126">
        <f>G5043*H5043</f>
        <v>0</v>
      </c>
    </row>
    <row r="5044" spans="2:10" ht="15.95" customHeight="1" thickBot="1" x14ac:dyDescent="0.3">
      <c r="C5044" s="132"/>
      <c r="D5044" s="133"/>
      <c r="E5044" s="134"/>
      <c r="F5044" s="134"/>
      <c r="G5044" s="135" t="s">
        <v>389</v>
      </c>
      <c r="H5044" s="136"/>
      <c r="I5044" s="137">
        <f>I5043</f>
        <v>0</v>
      </c>
    </row>
    <row r="5045" spans="2:10" ht="15.95" customHeight="1" x14ac:dyDescent="0.25">
      <c r="C5045" s="158" t="s">
        <v>390</v>
      </c>
      <c r="D5045" s="159" t="s">
        <v>391</v>
      </c>
      <c r="E5045" s="160"/>
      <c r="F5045" s="160"/>
      <c r="G5045" s="161"/>
      <c r="H5045" s="162">
        <f>IF(AND(D5045&lt;&gt;"",F5045&lt;&gt;""),IF(C5045="",IF(F5045="OH",VLOOKUP(D5045,[1]UPAH!$B$3:$G$32,7,0),VLOOKUP(D5045,[1]BAHAN!$A$2:$D$3,4,0)),0),0)</f>
        <v>0</v>
      </c>
      <c r="I5045" s="126">
        <f>SUM(I5034:I5044)/2</f>
        <v>38100</v>
      </c>
    </row>
    <row r="5046" spans="2:10" ht="15.95" customHeight="1" thickBot="1" x14ac:dyDescent="0.3">
      <c r="C5046" s="147" t="s">
        <v>392</v>
      </c>
      <c r="D5046" s="148" t="s">
        <v>393</v>
      </c>
      <c r="E5046" s="149"/>
      <c r="F5046" s="149"/>
      <c r="G5046" s="164">
        <v>0.1</v>
      </c>
      <c r="H5046" s="151"/>
      <c r="I5046" s="146">
        <f>G5046*I5045</f>
        <v>3810</v>
      </c>
    </row>
    <row r="5047" spans="2:10" ht="15.95" customHeight="1" thickBot="1" x14ac:dyDescent="0.3">
      <c r="C5047" s="111" t="s">
        <v>394</v>
      </c>
      <c r="D5047" s="112" t="s">
        <v>395</v>
      </c>
      <c r="E5047" s="134"/>
      <c r="F5047" s="134"/>
      <c r="G5047" s="156"/>
      <c r="H5047" s="136">
        <f>IF(AND(D5047&lt;&gt;"",F5047&lt;&gt;""),IF(C5047="",IF(F5047="OH",VLOOKUP(D5047,[1]UPAH!$B$3:$G$32,7,0),VLOOKUP(D5047,[1]BAHAN!$A$2:$D$3,4,0)),0),0)</f>
        <v>0</v>
      </c>
      <c r="I5047" s="137">
        <f>ROUNDDOWN(I5045+I5046,0)</f>
        <v>41910</v>
      </c>
    </row>
    <row r="5048" spans="2:10" ht="15.95" customHeight="1" x14ac:dyDescent="0.25">
      <c r="C5048" s="109"/>
      <c r="D5048" s="109"/>
      <c r="G5048" s="157"/>
    </row>
    <row r="5049" spans="2:10" ht="15.95" customHeight="1" thickBot="1" x14ac:dyDescent="0.3">
      <c r="B5049" s="109" t="s">
        <v>1190</v>
      </c>
      <c r="C5049" s="104" t="s">
        <v>1186</v>
      </c>
      <c r="G5049" s="234"/>
      <c r="J5049" s="110">
        <f>I5067</f>
        <v>486771</v>
      </c>
    </row>
    <row r="5050" spans="2:10" ht="15.95" customHeight="1" thickBot="1" x14ac:dyDescent="0.3">
      <c r="C5050" s="111" t="s">
        <v>328</v>
      </c>
      <c r="D5050" s="112" t="s">
        <v>359</v>
      </c>
      <c r="E5050" s="113" t="s">
        <v>360</v>
      </c>
      <c r="F5050" s="113" t="s">
        <v>330</v>
      </c>
      <c r="G5050" s="114" t="s">
        <v>361</v>
      </c>
      <c r="H5050" s="112" t="s">
        <v>362</v>
      </c>
      <c r="I5050" s="115" t="s">
        <v>363</v>
      </c>
    </row>
    <row r="5051" spans="2:10" ht="15.95" customHeight="1" x14ac:dyDescent="0.25">
      <c r="C5051" s="116" t="s">
        <v>364</v>
      </c>
      <c r="D5051" s="117" t="s">
        <v>365</v>
      </c>
      <c r="E5051" s="118"/>
      <c r="F5051" s="118"/>
      <c r="G5051" s="165"/>
      <c r="H5051" s="144"/>
      <c r="I5051" s="126"/>
    </row>
    <row r="5052" spans="2:10" ht="15.95" customHeight="1" x14ac:dyDescent="0.25">
      <c r="C5052" s="122"/>
      <c r="D5052" s="117" t="s">
        <v>366</v>
      </c>
      <c r="E5052" s="123" t="s">
        <v>367</v>
      </c>
      <c r="F5052" s="123" t="s">
        <v>368</v>
      </c>
      <c r="G5052" s="124">
        <v>0.5</v>
      </c>
      <c r="H5052" s="125">
        <f>VLOOKUP(D5052,Upah,8,FALSE)</f>
        <v>125000</v>
      </c>
      <c r="I5052" s="126">
        <f>G5052*H5052</f>
        <v>62500</v>
      </c>
    </row>
    <row r="5053" spans="2:10" ht="15.95" customHeight="1" x14ac:dyDescent="0.25">
      <c r="C5053" s="122"/>
      <c r="D5053" s="117" t="s">
        <v>611</v>
      </c>
      <c r="E5053" s="123" t="s">
        <v>370</v>
      </c>
      <c r="F5053" s="123" t="s">
        <v>368</v>
      </c>
      <c r="G5053" s="124">
        <v>0.5</v>
      </c>
      <c r="H5053" s="125">
        <f>VLOOKUP(D5053,Upah,8,FALSE)</f>
        <v>150000</v>
      </c>
      <c r="I5053" s="126">
        <f>G5053*H5053</f>
        <v>75000</v>
      </c>
    </row>
    <row r="5054" spans="2:10" ht="15.95" customHeight="1" x14ac:dyDescent="0.25">
      <c r="C5054" s="122"/>
      <c r="D5054" s="117" t="s">
        <v>429</v>
      </c>
      <c r="E5054" s="123" t="s">
        <v>372</v>
      </c>
      <c r="F5054" s="123" t="s">
        <v>368</v>
      </c>
      <c r="G5054" s="124">
        <v>0.05</v>
      </c>
      <c r="H5054" s="125">
        <f>VLOOKUP(D5054,Upah,8,FALSE)</f>
        <v>165000</v>
      </c>
      <c r="I5054" s="126">
        <f>G5054*H5054</f>
        <v>8250</v>
      </c>
    </row>
    <row r="5055" spans="2:10" ht="15.95" customHeight="1" thickBot="1" x14ac:dyDescent="0.3">
      <c r="C5055" s="122"/>
      <c r="D5055" s="117" t="s">
        <v>373</v>
      </c>
      <c r="E5055" s="123" t="s">
        <v>374</v>
      </c>
      <c r="F5055" s="123" t="s">
        <v>368</v>
      </c>
      <c r="G5055" s="124">
        <v>2.5000000000000001E-2</v>
      </c>
      <c r="H5055" s="125">
        <f>VLOOKUP(D5055,Upah,8,FALSE)</f>
        <v>170000</v>
      </c>
      <c r="I5055" s="126">
        <f>G5055*H5055</f>
        <v>4250</v>
      </c>
    </row>
    <row r="5056" spans="2:10" ht="15.95" customHeight="1" thickBot="1" x14ac:dyDescent="0.3">
      <c r="C5056" s="132"/>
      <c r="D5056" s="133"/>
      <c r="E5056" s="134"/>
      <c r="F5056" s="134"/>
      <c r="G5056" s="135" t="s">
        <v>375</v>
      </c>
      <c r="H5056" s="136"/>
      <c r="I5056" s="137">
        <f>SUM(I5052:I5055)</f>
        <v>150000</v>
      </c>
    </row>
    <row r="5057" spans="2:10" ht="15.95" customHeight="1" x14ac:dyDescent="0.25">
      <c r="C5057" s="116" t="s">
        <v>376</v>
      </c>
      <c r="D5057" s="117" t="s">
        <v>377</v>
      </c>
      <c r="E5057" s="118"/>
      <c r="F5057" s="118"/>
      <c r="G5057" s="165"/>
      <c r="H5057" s="144"/>
      <c r="I5057" s="126"/>
    </row>
    <row r="5058" spans="2:10" ht="15.95" customHeight="1" x14ac:dyDescent="0.25">
      <c r="C5058" s="122"/>
      <c r="D5058" s="117" t="s">
        <v>1187</v>
      </c>
      <c r="E5058" s="118"/>
      <c r="F5058" s="123" t="s">
        <v>127</v>
      </c>
      <c r="G5058" s="124">
        <v>3.6</v>
      </c>
      <c r="H5058" s="144">
        <f>VLOOKUP(D5058,Bahan,6,FALSE)</f>
        <v>14520</v>
      </c>
      <c r="I5058" s="126">
        <f>G5058*H5058</f>
        <v>52272</v>
      </c>
    </row>
    <row r="5059" spans="2:10" ht="15.95" customHeight="1" x14ac:dyDescent="0.25">
      <c r="C5059" s="122"/>
      <c r="D5059" s="117" t="s">
        <v>1188</v>
      </c>
      <c r="E5059" s="118"/>
      <c r="F5059" s="123" t="s">
        <v>133</v>
      </c>
      <c r="G5059" s="124">
        <v>0.15</v>
      </c>
      <c r="H5059" s="144">
        <f>VLOOKUP(D5059,Bahan,6,FALSE)</f>
        <v>24800</v>
      </c>
      <c r="I5059" s="126">
        <f>G5059*H5059</f>
        <v>3720</v>
      </c>
    </row>
    <row r="5060" spans="2:10" ht="15.95" customHeight="1" x14ac:dyDescent="0.25">
      <c r="C5060" s="122"/>
      <c r="D5060" s="117" t="s">
        <v>1189</v>
      </c>
      <c r="E5060" s="118"/>
      <c r="F5060" s="123" t="s">
        <v>603</v>
      </c>
      <c r="G5060" s="124">
        <v>1.05</v>
      </c>
      <c r="H5060" s="144">
        <f>VLOOKUP(D5060,Bahan,6,FALSE)</f>
        <v>350</v>
      </c>
      <c r="I5060" s="126">
        <f>G5060*H5060</f>
        <v>367.5</v>
      </c>
    </row>
    <row r="5061" spans="2:10" ht="15.95" customHeight="1" thickBot="1" x14ac:dyDescent="0.3">
      <c r="C5061" s="122"/>
      <c r="D5061" s="117" t="s">
        <v>1175</v>
      </c>
      <c r="E5061" s="118"/>
      <c r="F5061" s="123" t="s">
        <v>621</v>
      </c>
      <c r="G5061" s="124">
        <v>1.5</v>
      </c>
      <c r="H5061" s="144">
        <f>VLOOKUP(D5061,Bahan,6,FALSE)</f>
        <v>157440</v>
      </c>
      <c r="I5061" s="126">
        <f>G5061*H5061</f>
        <v>236160</v>
      </c>
    </row>
    <row r="5062" spans="2:10" ht="15.95" customHeight="1" thickBot="1" x14ac:dyDescent="0.3">
      <c r="C5062" s="132"/>
      <c r="D5062" s="133"/>
      <c r="E5062" s="134"/>
      <c r="F5062" s="134"/>
      <c r="G5062" s="135" t="s">
        <v>386</v>
      </c>
      <c r="H5062" s="136"/>
      <c r="I5062" s="137">
        <f>SUM(I5058:I5061)</f>
        <v>292519.5</v>
      </c>
    </row>
    <row r="5063" spans="2:10" ht="15.95" customHeight="1" thickBot="1" x14ac:dyDescent="0.3">
      <c r="C5063" s="116" t="s">
        <v>387</v>
      </c>
      <c r="D5063" s="117" t="s">
        <v>388</v>
      </c>
      <c r="E5063" s="118"/>
      <c r="F5063" s="118"/>
      <c r="G5063" s="165"/>
      <c r="H5063" s="144">
        <f>IF(AND(D5063&lt;&gt;"",F5063&lt;&gt;""),IF(C5063="",IF(F5063="OH",VLOOKUP(D5063,[1]UPAH!$B$3:$G$32,7,0),VLOOKUP(D5063,[1]BAHAN!$A$2:$D$3,4,0)),0),0)</f>
        <v>0</v>
      </c>
      <c r="I5063" s="126">
        <f>G5063*H5063</f>
        <v>0</v>
      </c>
    </row>
    <row r="5064" spans="2:10" ht="15.95" customHeight="1" thickBot="1" x14ac:dyDescent="0.3">
      <c r="C5064" s="132"/>
      <c r="D5064" s="133"/>
      <c r="E5064" s="134"/>
      <c r="F5064" s="134"/>
      <c r="G5064" s="135" t="s">
        <v>389</v>
      </c>
      <c r="H5064" s="136"/>
      <c r="I5064" s="137">
        <f>I5063</f>
        <v>0</v>
      </c>
    </row>
    <row r="5065" spans="2:10" ht="15.95" customHeight="1" x14ac:dyDescent="0.25">
      <c r="C5065" s="158" t="s">
        <v>390</v>
      </c>
      <c r="D5065" s="159" t="s">
        <v>391</v>
      </c>
      <c r="E5065" s="160"/>
      <c r="F5065" s="160"/>
      <c r="G5065" s="161"/>
      <c r="H5065" s="162">
        <f>IF(AND(D5065&lt;&gt;"",F5065&lt;&gt;""),IF(C5065="",IF(F5065="OH",VLOOKUP(D5065,[1]UPAH!$B$3:$G$32,7,0),VLOOKUP(D5065,[1]BAHAN!$A$2:$D$3,4,0)),0),0)</f>
        <v>0</v>
      </c>
      <c r="I5065" s="126">
        <f>SUM(I5052:I5064)/2</f>
        <v>442519.5</v>
      </c>
    </row>
    <row r="5066" spans="2:10" ht="15.95" customHeight="1" thickBot="1" x14ac:dyDescent="0.3">
      <c r="C5066" s="147" t="s">
        <v>392</v>
      </c>
      <c r="D5066" s="148" t="s">
        <v>393</v>
      </c>
      <c r="E5066" s="149"/>
      <c r="F5066" s="149"/>
      <c r="G5066" s="164">
        <v>0.1</v>
      </c>
      <c r="H5066" s="151"/>
      <c r="I5066" s="146">
        <f>G5066*I5065</f>
        <v>44251.950000000004</v>
      </c>
    </row>
    <row r="5067" spans="2:10" ht="15.95" customHeight="1" thickBot="1" x14ac:dyDescent="0.3">
      <c r="C5067" s="111" t="s">
        <v>394</v>
      </c>
      <c r="D5067" s="112" t="s">
        <v>395</v>
      </c>
      <c r="E5067" s="134"/>
      <c r="F5067" s="134"/>
      <c r="G5067" s="156"/>
      <c r="H5067" s="136">
        <f>IF(AND(D5067&lt;&gt;"",F5067&lt;&gt;""),IF(C5067="",IF(F5067="OH",VLOOKUP(D5067,[1]UPAH!$B$3:$G$32,7,0),VLOOKUP(D5067,[1]BAHAN!$A$2:$D$3,4,0)),0),0)</f>
        <v>0</v>
      </c>
      <c r="I5067" s="137">
        <f>ROUNDDOWN(I5065+I5066,0)</f>
        <v>486771</v>
      </c>
    </row>
    <row r="5068" spans="2:10" ht="15.95" customHeight="1" x14ac:dyDescent="0.25">
      <c r="C5068" s="109"/>
      <c r="D5068" s="109"/>
      <c r="G5068" s="157"/>
    </row>
    <row r="5069" spans="2:10" ht="15.95" customHeight="1" thickBot="1" x14ac:dyDescent="0.3">
      <c r="B5069" s="109" t="s">
        <v>1193</v>
      </c>
      <c r="C5069" s="104" t="s">
        <v>1191</v>
      </c>
      <c r="G5069" s="157"/>
      <c r="J5069" s="110">
        <f>I5085</f>
        <v>20955</v>
      </c>
    </row>
    <row r="5070" spans="2:10" ht="15.95" customHeight="1" thickBot="1" x14ac:dyDescent="0.3">
      <c r="C5070" s="111" t="s">
        <v>328</v>
      </c>
      <c r="D5070" s="112" t="s">
        <v>359</v>
      </c>
      <c r="E5070" s="113" t="s">
        <v>360</v>
      </c>
      <c r="F5070" s="113" t="s">
        <v>330</v>
      </c>
      <c r="G5070" s="114" t="s">
        <v>361</v>
      </c>
      <c r="H5070" s="112" t="s">
        <v>362</v>
      </c>
      <c r="I5070" s="115" t="s">
        <v>363</v>
      </c>
    </row>
    <row r="5071" spans="2:10" ht="15.95" customHeight="1" x14ac:dyDescent="0.25">
      <c r="C5071" s="116" t="s">
        <v>364</v>
      </c>
      <c r="D5071" s="117" t="s">
        <v>365</v>
      </c>
      <c r="E5071" s="118"/>
      <c r="F5071" s="118"/>
      <c r="G5071" s="165"/>
      <c r="H5071" s="144"/>
      <c r="I5071" s="126"/>
    </row>
    <row r="5072" spans="2:10" ht="15.95" customHeight="1" x14ac:dyDescent="0.25">
      <c r="C5072" s="122"/>
      <c r="D5072" s="117" t="s">
        <v>366</v>
      </c>
      <c r="E5072" s="123" t="s">
        <v>367</v>
      </c>
      <c r="F5072" s="123" t="s">
        <v>368</v>
      </c>
      <c r="G5072" s="124">
        <v>0.05</v>
      </c>
      <c r="H5072" s="125">
        <f>VLOOKUP(D5072,Upah,8,FALSE)</f>
        <v>125000</v>
      </c>
      <c r="I5072" s="126">
        <f>G5072*H5072</f>
        <v>6250</v>
      </c>
    </row>
    <row r="5073" spans="3:9" ht="15.95" customHeight="1" x14ac:dyDescent="0.25">
      <c r="C5073" s="122"/>
      <c r="D5073" s="117" t="s">
        <v>369</v>
      </c>
      <c r="E5073" s="123" t="s">
        <v>370</v>
      </c>
      <c r="F5073" s="123" t="s">
        <v>368</v>
      </c>
      <c r="G5073" s="124">
        <v>0.05</v>
      </c>
      <c r="H5073" s="125">
        <f>VLOOKUP(D5073,Upah,8,FALSE)</f>
        <v>150000</v>
      </c>
      <c r="I5073" s="126">
        <f>G5073*H5073</f>
        <v>7500</v>
      </c>
    </row>
    <row r="5074" spans="3:9" ht="15.95" customHeight="1" x14ac:dyDescent="0.25">
      <c r="C5074" s="122"/>
      <c r="D5074" s="117" t="s">
        <v>429</v>
      </c>
      <c r="E5074" s="123" t="s">
        <v>372</v>
      </c>
      <c r="F5074" s="123" t="s">
        <v>368</v>
      </c>
      <c r="G5074" s="124">
        <v>5.0000000000000001E-3</v>
      </c>
      <c r="H5074" s="125">
        <f>VLOOKUP(D5074,Upah,8,FALSE)</f>
        <v>165000</v>
      </c>
      <c r="I5074" s="126">
        <f>G5074*H5074</f>
        <v>825</v>
      </c>
    </row>
    <row r="5075" spans="3:9" ht="15.95" customHeight="1" thickBot="1" x14ac:dyDescent="0.3">
      <c r="C5075" s="122"/>
      <c r="D5075" s="117" t="s">
        <v>373</v>
      </c>
      <c r="E5075" s="123" t="s">
        <v>374</v>
      </c>
      <c r="F5075" s="123" t="s">
        <v>368</v>
      </c>
      <c r="G5075" s="124">
        <v>3.0000000000000001E-3</v>
      </c>
      <c r="H5075" s="125">
        <f>VLOOKUP(D5075,Upah,8,FALSE)</f>
        <v>170000</v>
      </c>
      <c r="I5075" s="126">
        <f>G5075*H5075</f>
        <v>510</v>
      </c>
    </row>
    <row r="5076" spans="3:9" ht="15.95" customHeight="1" thickBot="1" x14ac:dyDescent="0.3">
      <c r="C5076" s="132"/>
      <c r="D5076" s="133"/>
      <c r="E5076" s="134"/>
      <c r="F5076" s="134"/>
      <c r="G5076" s="135" t="s">
        <v>375</v>
      </c>
      <c r="H5076" s="136"/>
      <c r="I5076" s="137">
        <f>SUM(I5072:I5075)</f>
        <v>15085</v>
      </c>
    </row>
    <row r="5077" spans="3:9" ht="15.95" customHeight="1" x14ac:dyDescent="0.25">
      <c r="C5077" s="116" t="s">
        <v>376</v>
      </c>
      <c r="D5077" s="117" t="s">
        <v>377</v>
      </c>
      <c r="E5077" s="118"/>
      <c r="F5077" s="118"/>
      <c r="G5077" s="165"/>
      <c r="H5077" s="144"/>
      <c r="I5077" s="126"/>
    </row>
    <row r="5078" spans="3:9" ht="15.95" customHeight="1" x14ac:dyDescent="0.25">
      <c r="C5078" s="122"/>
      <c r="D5078" s="117" t="s">
        <v>1192</v>
      </c>
      <c r="E5078" s="118"/>
      <c r="F5078" s="123" t="s">
        <v>127</v>
      </c>
      <c r="G5078" s="124">
        <v>1.05</v>
      </c>
      <c r="H5078" s="144">
        <f>VLOOKUP(D5078,Bahan,6,FALSE)</f>
        <v>3510</v>
      </c>
      <c r="I5078" s="126">
        <f>G5078*H5078</f>
        <v>3685.5</v>
      </c>
    </row>
    <row r="5079" spans="3:9" ht="15.95" customHeight="1" thickBot="1" x14ac:dyDescent="0.3">
      <c r="C5079" s="122"/>
      <c r="D5079" s="117" t="s">
        <v>613</v>
      </c>
      <c r="E5079" s="118"/>
      <c r="F5079" s="123" t="s">
        <v>133</v>
      </c>
      <c r="G5079" s="124">
        <v>0.01</v>
      </c>
      <c r="H5079" s="144">
        <f>VLOOKUP(D5079,Bahan,6,FALSE)</f>
        <v>27970</v>
      </c>
      <c r="I5079" s="126">
        <f>G5079*H5079</f>
        <v>279.7</v>
      </c>
    </row>
    <row r="5080" spans="3:9" ht="15.95" customHeight="1" thickBot="1" x14ac:dyDescent="0.3">
      <c r="C5080" s="132"/>
      <c r="D5080" s="133"/>
      <c r="E5080" s="134"/>
      <c r="F5080" s="134"/>
      <c r="G5080" s="135" t="s">
        <v>386</v>
      </c>
      <c r="H5080" s="136"/>
      <c r="I5080" s="137">
        <f>SUM(I5078:I5079)</f>
        <v>3965.2</v>
      </c>
    </row>
    <row r="5081" spans="3:9" ht="15.95" customHeight="1" thickBot="1" x14ac:dyDescent="0.3">
      <c r="C5081" s="116" t="s">
        <v>387</v>
      </c>
      <c r="D5081" s="117" t="s">
        <v>388</v>
      </c>
      <c r="E5081" s="118"/>
      <c r="F5081" s="118"/>
      <c r="G5081" s="165"/>
      <c r="H5081" s="144">
        <f>IF(AND(D5081&lt;&gt;"",F5081&lt;&gt;""),IF(C5081="",IF(F5081="OH",VLOOKUP(D5081,[1]UPAH!$B$3:$G$32,7,0),VLOOKUP(D5081,[1]BAHAN!$A$2:$D$3,4,0)),0),0)</f>
        <v>0</v>
      </c>
      <c r="I5081" s="126">
        <f>G5081*H5081</f>
        <v>0</v>
      </c>
    </row>
    <row r="5082" spans="3:9" ht="15.95" customHeight="1" thickBot="1" x14ac:dyDescent="0.3">
      <c r="C5082" s="132"/>
      <c r="D5082" s="133"/>
      <c r="E5082" s="134"/>
      <c r="F5082" s="134"/>
      <c r="G5082" s="135" t="s">
        <v>389</v>
      </c>
      <c r="H5082" s="136"/>
      <c r="I5082" s="137">
        <f>I5081</f>
        <v>0</v>
      </c>
    </row>
    <row r="5083" spans="3:9" ht="15.95" customHeight="1" x14ac:dyDescent="0.25">
      <c r="C5083" s="158" t="s">
        <v>390</v>
      </c>
      <c r="D5083" s="159" t="s">
        <v>391</v>
      </c>
      <c r="E5083" s="160"/>
      <c r="F5083" s="160"/>
      <c r="G5083" s="161"/>
      <c r="H5083" s="162">
        <f>IF(AND(D5083&lt;&gt;"",F5083&lt;&gt;""),IF(C5083="",IF(F5083="OH",VLOOKUP(D5083,[1]UPAH!$B$3:$G$32,7,0),VLOOKUP(D5083,[1]BAHAN!$A$2:$D$3,4,0)),0),0)</f>
        <v>0</v>
      </c>
      <c r="I5083" s="126">
        <f>SUM(I5072:I5082)/2</f>
        <v>19050.199999999997</v>
      </c>
    </row>
    <row r="5084" spans="3:9" ht="15.95" customHeight="1" thickBot="1" x14ac:dyDescent="0.3">
      <c r="C5084" s="147" t="s">
        <v>392</v>
      </c>
      <c r="D5084" s="148" t="s">
        <v>393</v>
      </c>
      <c r="E5084" s="149"/>
      <c r="F5084" s="149"/>
      <c r="G5084" s="164">
        <v>0.1</v>
      </c>
      <c r="H5084" s="151"/>
      <c r="I5084" s="146">
        <f>G5084*I5083</f>
        <v>1905.0199999999998</v>
      </c>
    </row>
    <row r="5085" spans="3:9" ht="15.95" customHeight="1" thickBot="1" x14ac:dyDescent="0.3">
      <c r="C5085" s="111" t="s">
        <v>394</v>
      </c>
      <c r="D5085" s="112" t="s">
        <v>395</v>
      </c>
      <c r="E5085" s="134"/>
      <c r="F5085" s="134"/>
      <c r="G5085" s="156"/>
      <c r="H5085" s="136">
        <f>IF(AND(D5085&lt;&gt;"",F5085&lt;&gt;""),IF(C5085="",IF(F5085="OH",VLOOKUP(D5085,[1]UPAH!$B$3:$G$32,7,0),VLOOKUP(D5085,[1]BAHAN!$A$2:$D$3,4,0)),0),0)</f>
        <v>0</v>
      </c>
      <c r="I5085" s="137">
        <f>ROUNDDOWN(I5083+I5084,0)</f>
        <v>20955</v>
      </c>
    </row>
    <row r="5086" spans="3:9" ht="15.95" customHeight="1" x14ac:dyDescent="0.25">
      <c r="D5086" s="109" t="s">
        <v>1891</v>
      </c>
      <c r="G5086" s="157"/>
    </row>
    <row r="5087" spans="3:9" ht="15.95" customHeight="1" x14ac:dyDescent="0.25">
      <c r="D5087" s="109" t="s">
        <v>1890</v>
      </c>
      <c r="G5087" s="157"/>
    </row>
    <row r="5088" spans="3:9" ht="15.95" customHeight="1" x14ac:dyDescent="0.25">
      <c r="D5088" s="109"/>
      <c r="G5088" s="157"/>
    </row>
    <row r="5089" spans="2:10" ht="15.95" customHeight="1" thickBot="1" x14ac:dyDescent="0.3">
      <c r="B5089" s="247" t="s">
        <v>1886</v>
      </c>
      <c r="C5089" s="104" t="s">
        <v>801</v>
      </c>
      <c r="G5089" s="157"/>
      <c r="J5089" s="110">
        <f>I5105</f>
        <v>423593</v>
      </c>
    </row>
    <row r="5090" spans="2:10" ht="15.95" customHeight="1" thickBot="1" x14ac:dyDescent="0.3">
      <c r="C5090" s="111" t="s">
        <v>328</v>
      </c>
      <c r="D5090" s="112" t="s">
        <v>359</v>
      </c>
      <c r="E5090" s="113" t="s">
        <v>360</v>
      </c>
      <c r="F5090" s="113" t="s">
        <v>330</v>
      </c>
      <c r="G5090" s="114" t="s">
        <v>361</v>
      </c>
      <c r="H5090" s="112" t="s">
        <v>362</v>
      </c>
      <c r="I5090" s="115" t="s">
        <v>363</v>
      </c>
    </row>
    <row r="5091" spans="2:10" ht="15.95" customHeight="1" x14ac:dyDescent="0.25">
      <c r="C5091" s="116" t="s">
        <v>364</v>
      </c>
      <c r="D5091" s="117" t="s">
        <v>365</v>
      </c>
      <c r="E5091" s="118"/>
      <c r="F5091" s="118"/>
      <c r="G5091" s="165"/>
      <c r="H5091" s="144"/>
      <c r="I5091" s="126"/>
    </row>
    <row r="5092" spans="2:10" ht="15.95" customHeight="1" x14ac:dyDescent="0.25">
      <c r="C5092" s="122"/>
      <c r="D5092" s="117" t="s">
        <v>366</v>
      </c>
      <c r="E5092" s="123" t="s">
        <v>367</v>
      </c>
      <c r="F5092" s="123" t="s">
        <v>368</v>
      </c>
      <c r="G5092" s="124">
        <v>0.35</v>
      </c>
      <c r="H5092" s="125">
        <f>VLOOKUP(D5092,Upah,8,FALSE)</f>
        <v>125000</v>
      </c>
      <c r="I5092" s="126">
        <f>G5092*H5092</f>
        <v>43750</v>
      </c>
    </row>
    <row r="5093" spans="2:10" ht="15.95" customHeight="1" x14ac:dyDescent="0.25">
      <c r="C5093" s="122"/>
      <c r="D5093" s="117" t="s">
        <v>577</v>
      </c>
      <c r="E5093" s="123" t="s">
        <v>578</v>
      </c>
      <c r="F5093" s="123" t="s">
        <v>368</v>
      </c>
      <c r="G5093" s="124">
        <v>0.35</v>
      </c>
      <c r="H5093" s="125">
        <f>VLOOKUP(D5093,Upah,8,FALSE)</f>
        <v>150000</v>
      </c>
      <c r="I5093" s="126">
        <f>G5093*H5093</f>
        <v>52500</v>
      </c>
    </row>
    <row r="5094" spans="2:10" ht="15.95" customHeight="1" x14ac:dyDescent="0.25">
      <c r="C5094" s="122"/>
      <c r="D5094" s="117" t="s">
        <v>371</v>
      </c>
      <c r="E5094" s="123" t="s">
        <v>372</v>
      </c>
      <c r="F5094" s="123" t="s">
        <v>368</v>
      </c>
      <c r="G5094" s="124">
        <v>3.5000000000000003E-2</v>
      </c>
      <c r="H5094" s="125">
        <f>VLOOKUP(D5094,Upah,8,FALSE)</f>
        <v>165000</v>
      </c>
      <c r="I5094" s="126">
        <f>G5094*H5094</f>
        <v>5775.0000000000009</v>
      </c>
    </row>
    <row r="5095" spans="2:10" ht="15.95" customHeight="1" thickBot="1" x14ac:dyDescent="0.3">
      <c r="C5095" s="122"/>
      <c r="D5095" s="117" t="s">
        <v>373</v>
      </c>
      <c r="E5095" s="123" t="s">
        <v>374</v>
      </c>
      <c r="F5095" s="123" t="s">
        <v>368</v>
      </c>
      <c r="G5095" s="124">
        <v>1.7999999999999999E-2</v>
      </c>
      <c r="H5095" s="125">
        <f>VLOOKUP(D5095,Upah,8,FALSE)</f>
        <v>170000</v>
      </c>
      <c r="I5095" s="126">
        <f>G5095*H5095</f>
        <v>3059.9999999999995</v>
      </c>
    </row>
    <row r="5096" spans="2:10" ht="15.95" customHeight="1" thickBot="1" x14ac:dyDescent="0.3">
      <c r="C5096" s="132"/>
      <c r="D5096" s="133"/>
      <c r="E5096" s="134"/>
      <c r="F5096" s="134"/>
      <c r="G5096" s="135" t="s">
        <v>375</v>
      </c>
      <c r="H5096" s="136"/>
      <c r="I5096" s="137">
        <f>SUM(I5092:I5095)</f>
        <v>105085</v>
      </c>
    </row>
    <row r="5097" spans="2:10" ht="15.95" customHeight="1" x14ac:dyDescent="0.25">
      <c r="C5097" s="116" t="s">
        <v>376</v>
      </c>
      <c r="D5097" s="117" t="s">
        <v>377</v>
      </c>
      <c r="E5097" s="118"/>
      <c r="F5097" s="118"/>
      <c r="G5097" s="165"/>
      <c r="H5097" s="144"/>
      <c r="I5097" s="126"/>
    </row>
    <row r="5098" spans="2:10" ht="15.95" customHeight="1" x14ac:dyDescent="0.25">
      <c r="C5098" s="122"/>
      <c r="D5098" s="117" t="s">
        <v>796</v>
      </c>
      <c r="E5098" s="118"/>
      <c r="F5098" s="123" t="s">
        <v>797</v>
      </c>
      <c r="G5098" s="124">
        <v>4</v>
      </c>
      <c r="H5098" s="144">
        <f>VLOOKUP(D5098,Bahan,6,FALSE)</f>
        <v>57500</v>
      </c>
      <c r="I5098" s="126">
        <f>G5098*H5098</f>
        <v>230000</v>
      </c>
    </row>
    <row r="5099" spans="2:10" ht="15.95" customHeight="1" thickBot="1" x14ac:dyDescent="0.3">
      <c r="C5099" s="122"/>
      <c r="D5099" s="117" t="s">
        <v>798</v>
      </c>
      <c r="E5099" s="118"/>
      <c r="F5099" s="123" t="s">
        <v>799</v>
      </c>
      <c r="G5099" s="124">
        <v>1</v>
      </c>
      <c r="H5099" s="144">
        <f>VLOOKUP(D5099,Bahan,6,FALSE)</f>
        <v>50000</v>
      </c>
      <c r="I5099" s="126">
        <f>G5099*H5099</f>
        <v>50000</v>
      </c>
    </row>
    <row r="5100" spans="2:10" ht="15.95" customHeight="1" thickBot="1" x14ac:dyDescent="0.3">
      <c r="C5100" s="132"/>
      <c r="D5100" s="133"/>
      <c r="E5100" s="134"/>
      <c r="F5100" s="134"/>
      <c r="G5100" s="135" t="s">
        <v>386</v>
      </c>
      <c r="H5100" s="136"/>
      <c r="I5100" s="137">
        <f>SUM(I5097:I5099)</f>
        <v>280000</v>
      </c>
    </row>
    <row r="5101" spans="2:10" ht="15.95" customHeight="1" thickBot="1" x14ac:dyDescent="0.3">
      <c r="C5101" s="116" t="s">
        <v>387</v>
      </c>
      <c r="D5101" s="117" t="s">
        <v>388</v>
      </c>
      <c r="E5101" s="118"/>
      <c r="F5101" s="118"/>
      <c r="G5101" s="165"/>
      <c r="H5101" s="144">
        <f>IF(AND(D5101&lt;&gt;"",F5101&lt;&gt;""),IF(C5101="",IF(F5101="OH",VLOOKUP(D5101,[1]UPAH!$B$3:$G$32,7,0),VLOOKUP(D5101,[1]BAHAN!$A$2:$D$3,4,0)),0),0)</f>
        <v>0</v>
      </c>
      <c r="I5101" s="126">
        <f>G5101*H5101</f>
        <v>0</v>
      </c>
    </row>
    <row r="5102" spans="2:10" ht="15.95" customHeight="1" thickBot="1" x14ac:dyDescent="0.3">
      <c r="C5102" s="132"/>
      <c r="D5102" s="133"/>
      <c r="E5102" s="134"/>
      <c r="F5102" s="134"/>
      <c r="G5102" s="135" t="s">
        <v>389</v>
      </c>
      <c r="H5102" s="136"/>
      <c r="I5102" s="137">
        <f>I5101</f>
        <v>0</v>
      </c>
    </row>
    <row r="5103" spans="2:10" ht="15.95" customHeight="1" x14ac:dyDescent="0.25">
      <c r="C5103" s="158" t="s">
        <v>390</v>
      </c>
      <c r="D5103" s="159" t="s">
        <v>391</v>
      </c>
      <c r="E5103" s="160"/>
      <c r="F5103" s="160"/>
      <c r="G5103" s="161"/>
      <c r="H5103" s="162">
        <f>IF(AND(D5103&lt;&gt;"",F5103&lt;&gt;""),IF(C5103="",IF(F5103="OH",VLOOKUP(D5103,[1]UPAH!$B$3:$G$32,7,0),VLOOKUP(D5103,[1]BAHAN!$A$2:$D$3,4,0)),0),0)</f>
        <v>0</v>
      </c>
      <c r="I5103" s="126">
        <f>SUM(I5090:I5102)/2</f>
        <v>385085</v>
      </c>
    </row>
    <row r="5104" spans="2:10" ht="15.95" customHeight="1" thickBot="1" x14ac:dyDescent="0.3">
      <c r="C5104" s="147" t="s">
        <v>392</v>
      </c>
      <c r="D5104" s="148" t="s">
        <v>393</v>
      </c>
      <c r="E5104" s="149"/>
      <c r="F5104" s="149"/>
      <c r="G5104" s="164">
        <v>0.1</v>
      </c>
      <c r="H5104" s="151"/>
      <c r="I5104" s="146">
        <f>G5104*I5103</f>
        <v>38508.5</v>
      </c>
    </row>
    <row r="5105" spans="2:10" ht="15.95" customHeight="1" thickBot="1" x14ac:dyDescent="0.3">
      <c r="C5105" s="111" t="s">
        <v>394</v>
      </c>
      <c r="D5105" s="112" t="s">
        <v>395</v>
      </c>
      <c r="E5105" s="134"/>
      <c r="F5105" s="134"/>
      <c r="G5105" s="156"/>
      <c r="H5105" s="136">
        <f>IF(AND(D5105&lt;&gt;"",F5105&lt;&gt;""),IF(C5105="",IF(F5105="OH",VLOOKUP(D5105,[1]UPAH!$B$3:$G$32,7,0),VLOOKUP(D5105,[1]BAHAN!$A$2:$D$3,4,0)),0),0)</f>
        <v>0</v>
      </c>
      <c r="I5105" s="137">
        <f>ROUNDDOWN(I5103+I5104,0)</f>
        <v>423593</v>
      </c>
    </row>
    <row r="5106" spans="2:10" ht="15.95" customHeight="1" x14ac:dyDescent="0.25">
      <c r="D5106" s="109"/>
      <c r="G5106" s="157"/>
    </row>
    <row r="5107" spans="2:10" ht="15.95" customHeight="1" thickBot="1" x14ac:dyDescent="0.3">
      <c r="B5107" s="109" t="s">
        <v>1887</v>
      </c>
      <c r="C5107" s="104" t="s">
        <v>1889</v>
      </c>
      <c r="G5107" s="157"/>
      <c r="J5107" s="110">
        <f>I5126</f>
        <v>508472</v>
      </c>
    </row>
    <row r="5108" spans="2:10" ht="15.95" customHeight="1" thickBot="1" x14ac:dyDescent="0.3">
      <c r="C5108" s="111" t="s">
        <v>328</v>
      </c>
      <c r="D5108" s="112" t="s">
        <v>359</v>
      </c>
      <c r="E5108" s="113" t="s">
        <v>360</v>
      </c>
      <c r="F5108" s="113" t="s">
        <v>330</v>
      </c>
      <c r="G5108" s="114" t="s">
        <v>361</v>
      </c>
      <c r="H5108" s="112" t="s">
        <v>362</v>
      </c>
      <c r="I5108" s="115" t="s">
        <v>363</v>
      </c>
    </row>
    <row r="5109" spans="2:10" ht="15.95" customHeight="1" x14ac:dyDescent="0.25">
      <c r="C5109" s="116" t="s">
        <v>364</v>
      </c>
      <c r="D5109" s="117" t="s">
        <v>365</v>
      </c>
      <c r="E5109" s="118"/>
      <c r="F5109" s="118"/>
      <c r="G5109" s="165"/>
      <c r="H5109" s="144"/>
      <c r="I5109" s="126"/>
    </row>
    <row r="5110" spans="2:10" ht="15.95" customHeight="1" x14ac:dyDescent="0.25">
      <c r="C5110" s="122"/>
      <c r="D5110" s="117" t="s">
        <v>366</v>
      </c>
      <c r="E5110" s="123" t="s">
        <v>367</v>
      </c>
      <c r="F5110" s="123" t="s">
        <v>368</v>
      </c>
      <c r="G5110" s="124">
        <v>0.5</v>
      </c>
      <c r="H5110" s="125">
        <f>VLOOKUP(D5110,Upah,8,FALSE)</f>
        <v>125000</v>
      </c>
      <c r="I5110" s="126">
        <f>G5110*H5110</f>
        <v>62500</v>
      </c>
    </row>
    <row r="5111" spans="2:10" ht="15.95" customHeight="1" x14ac:dyDescent="0.25">
      <c r="C5111" s="122"/>
      <c r="D5111" s="117" t="s">
        <v>612</v>
      </c>
      <c r="E5111" s="123" t="s">
        <v>370</v>
      </c>
      <c r="F5111" s="123" t="s">
        <v>368</v>
      </c>
      <c r="G5111" s="124">
        <v>0.5</v>
      </c>
      <c r="H5111" s="125">
        <f>VLOOKUP(D5111,Upah,8,FALSE)</f>
        <v>150000</v>
      </c>
      <c r="I5111" s="126">
        <f>G5111*H5111</f>
        <v>75000</v>
      </c>
    </row>
    <row r="5112" spans="2:10" ht="15.95" customHeight="1" x14ac:dyDescent="0.25">
      <c r="C5112" s="122"/>
      <c r="D5112" s="117" t="s">
        <v>429</v>
      </c>
      <c r="E5112" s="123" t="s">
        <v>372</v>
      </c>
      <c r="F5112" s="123" t="s">
        <v>368</v>
      </c>
      <c r="G5112" s="124">
        <v>0.05</v>
      </c>
      <c r="H5112" s="125">
        <f>VLOOKUP(D5112,Upah,8,FALSE)</f>
        <v>165000</v>
      </c>
      <c r="I5112" s="126">
        <f>G5112*H5112</f>
        <v>8250</v>
      </c>
    </row>
    <row r="5113" spans="2:10" ht="15.95" customHeight="1" thickBot="1" x14ac:dyDescent="0.3">
      <c r="C5113" s="122"/>
      <c r="D5113" s="117" t="s">
        <v>373</v>
      </c>
      <c r="E5113" s="123" t="s">
        <v>374</v>
      </c>
      <c r="F5113" s="123" t="s">
        <v>368</v>
      </c>
      <c r="G5113" s="124">
        <v>2.5000000000000001E-2</v>
      </c>
      <c r="H5113" s="125">
        <f>VLOOKUP(D5113,Upah,8,FALSE)</f>
        <v>170000</v>
      </c>
      <c r="I5113" s="126">
        <f>G5113*H5113</f>
        <v>4250</v>
      </c>
    </row>
    <row r="5114" spans="2:10" ht="15.95" customHeight="1" thickBot="1" x14ac:dyDescent="0.3">
      <c r="C5114" s="132"/>
      <c r="D5114" s="133"/>
      <c r="E5114" s="134"/>
      <c r="F5114" s="134"/>
      <c r="G5114" s="135" t="s">
        <v>375</v>
      </c>
      <c r="H5114" s="136"/>
      <c r="I5114" s="137">
        <f>SUM(I5110:I5113)</f>
        <v>150000</v>
      </c>
    </row>
    <row r="5115" spans="2:10" ht="15.95" customHeight="1" x14ac:dyDescent="0.25">
      <c r="C5115" s="116" t="s">
        <v>376</v>
      </c>
      <c r="D5115" s="117" t="s">
        <v>377</v>
      </c>
      <c r="E5115" s="118"/>
      <c r="F5115" s="118"/>
      <c r="G5115" s="165"/>
      <c r="H5115" s="144"/>
      <c r="I5115" s="126"/>
    </row>
    <row r="5116" spans="2:10" ht="15.95" customHeight="1" x14ac:dyDescent="0.25">
      <c r="C5116" s="122"/>
      <c r="D5116" s="117" t="s">
        <v>765</v>
      </c>
      <c r="E5116" s="118"/>
      <c r="F5116" s="123" t="s">
        <v>127</v>
      </c>
      <c r="G5116" s="124">
        <v>3.6</v>
      </c>
      <c r="H5116" s="144">
        <f>VLOOKUP(D5116,Bahan,6,FALSE)</f>
        <v>20000</v>
      </c>
      <c r="I5116" s="126">
        <f>G5116*H5116</f>
        <v>72000</v>
      </c>
    </row>
    <row r="5117" spans="2:10" ht="15.95" customHeight="1" x14ac:dyDescent="0.25">
      <c r="C5117" s="122"/>
      <c r="D5117" s="117" t="s">
        <v>1188</v>
      </c>
      <c r="E5117" s="118"/>
      <c r="F5117" s="123" t="s">
        <v>159</v>
      </c>
      <c r="G5117" s="124">
        <v>0.15</v>
      </c>
      <c r="H5117" s="144">
        <f>VLOOKUP(D5117,Bahan,6,FALSE)</f>
        <v>24800</v>
      </c>
      <c r="I5117" s="126">
        <f t="shared" ref="I5117:I5119" si="69">G5117*H5117</f>
        <v>3720</v>
      </c>
    </row>
    <row r="5118" spans="2:10" ht="15.95" customHeight="1" x14ac:dyDescent="0.25">
      <c r="C5118" s="122"/>
      <c r="D5118" s="117" t="s">
        <v>1189</v>
      </c>
      <c r="E5118" s="118"/>
      <c r="F5118" s="123" t="s">
        <v>418</v>
      </c>
      <c r="G5118" s="124">
        <v>1.05</v>
      </c>
      <c r="H5118" s="144">
        <f>VLOOKUP(D5118,Bahan,6,FALSE)</f>
        <v>350</v>
      </c>
      <c r="I5118" s="126">
        <f t="shared" si="69"/>
        <v>367.5</v>
      </c>
    </row>
    <row r="5119" spans="2:10" ht="15.95" customHeight="1" x14ac:dyDescent="0.25">
      <c r="C5119" s="122"/>
      <c r="D5119" s="117" t="s">
        <v>1175</v>
      </c>
      <c r="E5119" s="118"/>
      <c r="F5119" s="123" t="s">
        <v>621</v>
      </c>
      <c r="G5119" s="124">
        <v>1.5</v>
      </c>
      <c r="H5119" s="144">
        <f>VLOOKUP(D5119,Bahan,6,FALSE)</f>
        <v>157440</v>
      </c>
      <c r="I5119" s="126">
        <f t="shared" si="69"/>
        <v>236160</v>
      </c>
    </row>
    <row r="5120" spans="2:10" ht="15.95" customHeight="1" thickBot="1" x14ac:dyDescent="0.3">
      <c r="C5120" s="122"/>
      <c r="D5120" s="117"/>
      <c r="E5120" s="118"/>
      <c r="F5120" s="123"/>
      <c r="G5120" s="124"/>
      <c r="H5120" s="144"/>
      <c r="I5120" s="126"/>
    </row>
    <row r="5121" spans="2:10" ht="15.95" customHeight="1" thickBot="1" x14ac:dyDescent="0.3">
      <c r="C5121" s="132"/>
      <c r="D5121" s="133"/>
      <c r="E5121" s="134"/>
      <c r="F5121" s="134"/>
      <c r="G5121" s="135" t="s">
        <v>386</v>
      </c>
      <c r="H5121" s="136"/>
      <c r="I5121" s="137">
        <f>SUM(I5116:I5120)</f>
        <v>312247.5</v>
      </c>
    </row>
    <row r="5122" spans="2:10" ht="15.95" customHeight="1" thickBot="1" x14ac:dyDescent="0.3">
      <c r="C5122" s="116" t="s">
        <v>387</v>
      </c>
      <c r="D5122" s="117" t="s">
        <v>388</v>
      </c>
      <c r="E5122" s="118"/>
      <c r="F5122" s="118"/>
      <c r="G5122" s="165"/>
      <c r="H5122" s="144">
        <f>IF(AND(D5122&lt;&gt;"",F5122&lt;&gt;""),IF(C5122="",IF(F5122="OH",VLOOKUP(D5122,[1]UPAH!$B$3:$G$32,7,0),VLOOKUP(D5122,[1]BAHAN!$A$2:$D$3,4,0)),0),0)</f>
        <v>0</v>
      </c>
      <c r="I5122" s="126">
        <f>G5122*H5122</f>
        <v>0</v>
      </c>
    </row>
    <row r="5123" spans="2:10" ht="15.95" customHeight="1" thickBot="1" x14ac:dyDescent="0.3">
      <c r="C5123" s="132"/>
      <c r="D5123" s="133"/>
      <c r="E5123" s="134"/>
      <c r="F5123" s="134"/>
      <c r="G5123" s="135" t="s">
        <v>389</v>
      </c>
      <c r="H5123" s="136"/>
      <c r="I5123" s="137">
        <f>I5122</f>
        <v>0</v>
      </c>
    </row>
    <row r="5124" spans="2:10" ht="15.95" customHeight="1" x14ac:dyDescent="0.25">
      <c r="C5124" s="158" t="s">
        <v>390</v>
      </c>
      <c r="D5124" s="159" t="s">
        <v>391</v>
      </c>
      <c r="E5124" s="160"/>
      <c r="F5124" s="160"/>
      <c r="G5124" s="161"/>
      <c r="H5124" s="162">
        <f>IF(AND(D5124&lt;&gt;"",F5124&lt;&gt;""),IF(C5124="",IF(F5124="OH",VLOOKUP(D5124,[1]UPAH!$B$3:$G$32,7,0),VLOOKUP(D5124,[1]BAHAN!$A$2:$D$3,4,0)),0),0)</f>
        <v>0</v>
      </c>
      <c r="I5124" s="126">
        <f>SUM(I5110:I5123)/2</f>
        <v>462247.5</v>
      </c>
    </row>
    <row r="5125" spans="2:10" ht="15.95" customHeight="1" thickBot="1" x14ac:dyDescent="0.3">
      <c r="C5125" s="147" t="s">
        <v>392</v>
      </c>
      <c r="D5125" s="148" t="s">
        <v>393</v>
      </c>
      <c r="E5125" s="149"/>
      <c r="F5125" s="149"/>
      <c r="G5125" s="164">
        <v>0.1</v>
      </c>
      <c r="H5125" s="151"/>
      <c r="I5125" s="146">
        <f>G5125*I5124</f>
        <v>46224.75</v>
      </c>
    </row>
    <row r="5126" spans="2:10" ht="15.95" customHeight="1" thickBot="1" x14ac:dyDescent="0.3">
      <c r="C5126" s="111" t="s">
        <v>394</v>
      </c>
      <c r="D5126" s="112" t="s">
        <v>395</v>
      </c>
      <c r="E5126" s="134"/>
      <c r="F5126" s="134"/>
      <c r="G5126" s="156"/>
      <c r="H5126" s="136">
        <f>IF(AND(D5126&lt;&gt;"",F5126&lt;&gt;""),IF(C5126="",IF(F5126="OH",VLOOKUP(D5126,[1]UPAH!$B$3:$G$32,7,0),VLOOKUP(D5126,[1]BAHAN!$A$2:$D$3,4,0)),0),0)</f>
        <v>0</v>
      </c>
      <c r="I5126" s="137">
        <f>ROUNDDOWN(I5124+I5125,0)</f>
        <v>508472</v>
      </c>
    </row>
    <row r="5127" spans="2:10" ht="15.95" customHeight="1" x14ac:dyDescent="0.25">
      <c r="D5127" s="109"/>
      <c r="G5127" s="157"/>
    </row>
    <row r="5128" spans="2:10" ht="15.95" customHeight="1" thickBot="1" x14ac:dyDescent="0.3">
      <c r="B5128" s="109" t="s">
        <v>1888</v>
      </c>
      <c r="C5128" s="104" t="s">
        <v>1194</v>
      </c>
      <c r="G5128" s="157"/>
      <c r="J5128" s="110">
        <f>I5144</f>
        <v>244650</v>
      </c>
    </row>
    <row r="5129" spans="2:10" ht="15.95" customHeight="1" thickBot="1" x14ac:dyDescent="0.3">
      <c r="C5129" s="111" t="s">
        <v>328</v>
      </c>
      <c r="D5129" s="112" t="s">
        <v>359</v>
      </c>
      <c r="E5129" s="113" t="s">
        <v>360</v>
      </c>
      <c r="F5129" s="113" t="s">
        <v>330</v>
      </c>
      <c r="G5129" s="114" t="s">
        <v>361</v>
      </c>
      <c r="H5129" s="112" t="s">
        <v>362</v>
      </c>
      <c r="I5129" s="115" t="s">
        <v>363</v>
      </c>
    </row>
    <row r="5130" spans="2:10" ht="15.95" customHeight="1" x14ac:dyDescent="0.25">
      <c r="C5130" s="116" t="s">
        <v>364</v>
      </c>
      <c r="D5130" s="117" t="s">
        <v>365</v>
      </c>
      <c r="E5130" s="118"/>
      <c r="F5130" s="118"/>
      <c r="G5130" s="165"/>
      <c r="H5130" s="144"/>
      <c r="I5130" s="126"/>
    </row>
    <row r="5131" spans="2:10" ht="15.95" customHeight="1" x14ac:dyDescent="0.25">
      <c r="C5131" s="122"/>
      <c r="D5131" s="117" t="s">
        <v>366</v>
      </c>
      <c r="E5131" s="123" t="s">
        <v>367</v>
      </c>
      <c r="F5131" s="123" t="s">
        <v>368</v>
      </c>
      <c r="G5131" s="124">
        <v>0.15</v>
      </c>
      <c r="H5131" s="125">
        <f>VLOOKUP(D5131,Upah,8,FALSE)</f>
        <v>125000</v>
      </c>
      <c r="I5131" s="126">
        <f>G5131*H5131</f>
        <v>18750</v>
      </c>
    </row>
    <row r="5132" spans="2:10" ht="15.95" customHeight="1" x14ac:dyDescent="0.25">
      <c r="C5132" s="122"/>
      <c r="D5132" s="117" t="s">
        <v>369</v>
      </c>
      <c r="E5132" s="123" t="s">
        <v>370</v>
      </c>
      <c r="F5132" s="123" t="s">
        <v>368</v>
      </c>
      <c r="G5132" s="124">
        <v>0.25</v>
      </c>
      <c r="H5132" s="125">
        <f>VLOOKUP(D5132,Upah,8,FALSE)</f>
        <v>150000</v>
      </c>
      <c r="I5132" s="126">
        <f>G5132*H5132</f>
        <v>37500</v>
      </c>
    </row>
    <row r="5133" spans="2:10" ht="15.95" customHeight="1" x14ac:dyDescent="0.25">
      <c r="C5133" s="122"/>
      <c r="D5133" s="117" t="s">
        <v>429</v>
      </c>
      <c r="E5133" s="123" t="s">
        <v>372</v>
      </c>
      <c r="F5133" s="123" t="s">
        <v>368</v>
      </c>
      <c r="G5133" s="124">
        <v>2.5000000000000001E-2</v>
      </c>
      <c r="H5133" s="125">
        <f>VLOOKUP(D5133,Upah,8,FALSE)</f>
        <v>165000</v>
      </c>
      <c r="I5133" s="126">
        <f>G5133*H5133</f>
        <v>4125</v>
      </c>
    </row>
    <row r="5134" spans="2:10" ht="15.95" customHeight="1" thickBot="1" x14ac:dyDescent="0.3">
      <c r="C5134" s="122"/>
      <c r="D5134" s="117" t="s">
        <v>373</v>
      </c>
      <c r="E5134" s="123" t="s">
        <v>374</v>
      </c>
      <c r="F5134" s="123" t="s">
        <v>368</v>
      </c>
      <c r="G5134" s="124">
        <v>7.4999999999999997E-2</v>
      </c>
      <c r="H5134" s="125">
        <f>VLOOKUP(D5134,Upah,8,FALSE)</f>
        <v>170000</v>
      </c>
      <c r="I5134" s="126">
        <f>G5134*H5134</f>
        <v>12750</v>
      </c>
    </row>
    <row r="5135" spans="2:10" ht="15.95" customHeight="1" thickBot="1" x14ac:dyDescent="0.3">
      <c r="C5135" s="132"/>
      <c r="D5135" s="133"/>
      <c r="E5135" s="134"/>
      <c r="F5135" s="134"/>
      <c r="G5135" s="135" t="s">
        <v>375</v>
      </c>
      <c r="H5135" s="136"/>
      <c r="I5135" s="137">
        <f>SUM(I5131:I5134)</f>
        <v>73125</v>
      </c>
    </row>
    <row r="5136" spans="2:10" ht="15.95" customHeight="1" x14ac:dyDescent="0.25">
      <c r="C5136" s="116" t="s">
        <v>376</v>
      </c>
      <c r="D5136" s="117" t="s">
        <v>377</v>
      </c>
      <c r="E5136" s="118"/>
      <c r="F5136" s="118"/>
      <c r="G5136" s="165"/>
      <c r="H5136" s="144"/>
      <c r="I5136" s="126"/>
    </row>
    <row r="5137" spans="1:10" ht="15.95" customHeight="1" x14ac:dyDescent="0.25">
      <c r="C5137" s="122"/>
      <c r="D5137" s="117" t="s">
        <v>1195</v>
      </c>
      <c r="E5137" s="118"/>
      <c r="F5137" s="123" t="s">
        <v>82</v>
      </c>
      <c r="G5137" s="124">
        <v>1.05</v>
      </c>
      <c r="H5137" s="144">
        <f>VLOOKUP(D5137,Bahan,6,FALSE)</f>
        <v>131890</v>
      </c>
      <c r="I5137" s="126">
        <f>G5137*H5137</f>
        <v>138484.5</v>
      </c>
    </row>
    <row r="5138" spans="1:10" ht="15.95" customHeight="1" thickBot="1" x14ac:dyDescent="0.3">
      <c r="C5138" s="122"/>
      <c r="D5138" s="117" t="s">
        <v>1160</v>
      </c>
      <c r="E5138" s="118"/>
      <c r="F5138" s="123" t="s">
        <v>130</v>
      </c>
      <c r="G5138" s="124">
        <v>18</v>
      </c>
      <c r="H5138" s="144">
        <f>VLOOKUP(D5138,Bahan,6,FALSE)</f>
        <v>600</v>
      </c>
      <c r="I5138" s="126">
        <f>G5138*H5138</f>
        <v>10800</v>
      </c>
    </row>
    <row r="5139" spans="1:10" ht="15.95" customHeight="1" thickBot="1" x14ac:dyDescent="0.3">
      <c r="C5139" s="132"/>
      <c r="D5139" s="133"/>
      <c r="E5139" s="134"/>
      <c r="F5139" s="134"/>
      <c r="G5139" s="135" t="s">
        <v>386</v>
      </c>
      <c r="H5139" s="136"/>
      <c r="I5139" s="137">
        <f>SUM(I5137:I5138)</f>
        <v>149284.5</v>
      </c>
    </row>
    <row r="5140" spans="1:10" ht="15.95" customHeight="1" thickBot="1" x14ac:dyDescent="0.3">
      <c r="C5140" s="116" t="s">
        <v>387</v>
      </c>
      <c r="D5140" s="117" t="s">
        <v>388</v>
      </c>
      <c r="E5140" s="118"/>
      <c r="F5140" s="118"/>
      <c r="G5140" s="165"/>
      <c r="H5140" s="144">
        <f>IF(AND(D5140&lt;&gt;"",F5140&lt;&gt;""),IF(C5140="",IF(F5140="OH",VLOOKUP(D5140,[1]UPAH!$B$3:$G$32,7,0),VLOOKUP(D5140,[1]BAHAN!$A$2:$D$3,4,0)),0),0)</f>
        <v>0</v>
      </c>
      <c r="I5140" s="126">
        <f>G5140*H5140</f>
        <v>0</v>
      </c>
    </row>
    <row r="5141" spans="1:10" ht="15.95" customHeight="1" thickBot="1" x14ac:dyDescent="0.3">
      <c r="C5141" s="132"/>
      <c r="D5141" s="133"/>
      <c r="E5141" s="134"/>
      <c r="F5141" s="134"/>
      <c r="G5141" s="135" t="s">
        <v>389</v>
      </c>
      <c r="H5141" s="136"/>
      <c r="I5141" s="137">
        <f>I5140</f>
        <v>0</v>
      </c>
    </row>
    <row r="5142" spans="1:10" ht="15.95" customHeight="1" x14ac:dyDescent="0.25">
      <c r="C5142" s="158" t="s">
        <v>390</v>
      </c>
      <c r="D5142" s="159" t="s">
        <v>391</v>
      </c>
      <c r="E5142" s="160"/>
      <c r="F5142" s="160"/>
      <c r="G5142" s="161"/>
      <c r="H5142" s="162">
        <f>IF(AND(D5142&lt;&gt;"",F5142&lt;&gt;""),IF(C5142="",IF(F5142="OH",VLOOKUP(D5142,[1]UPAH!$B$3:$G$32,7,0),VLOOKUP(D5142,[1]BAHAN!$A$2:$D$3,4,0)),0),0)</f>
        <v>0</v>
      </c>
      <c r="I5142" s="126">
        <f>SUM(I5131:I5141)/2</f>
        <v>222409.5</v>
      </c>
    </row>
    <row r="5143" spans="1:10" ht="15.95" customHeight="1" thickBot="1" x14ac:dyDescent="0.3">
      <c r="C5143" s="147" t="s">
        <v>392</v>
      </c>
      <c r="D5143" s="148" t="s">
        <v>393</v>
      </c>
      <c r="E5143" s="149"/>
      <c r="F5143" s="149"/>
      <c r="G5143" s="164">
        <v>0.1</v>
      </c>
      <c r="H5143" s="151"/>
      <c r="I5143" s="146">
        <f>G5143*I5142</f>
        <v>22240.95</v>
      </c>
    </row>
    <row r="5144" spans="1:10" ht="15.95" customHeight="1" thickBot="1" x14ac:dyDescent="0.3">
      <c r="C5144" s="111" t="s">
        <v>394</v>
      </c>
      <c r="D5144" s="112" t="s">
        <v>395</v>
      </c>
      <c r="E5144" s="134"/>
      <c r="F5144" s="134"/>
      <c r="G5144" s="156"/>
      <c r="H5144" s="136">
        <f>IF(AND(D5144&lt;&gt;"",F5144&lt;&gt;""),IF(C5144="",IF(F5144="OH",VLOOKUP(D5144,[1]UPAH!$B$3:$G$32,7,0),VLOOKUP(D5144,[1]BAHAN!$A$2:$D$3,4,0)),0),0)</f>
        <v>0</v>
      </c>
      <c r="I5144" s="137">
        <f>ROUNDDOWN(I5142+I5143,0)</f>
        <v>244650</v>
      </c>
    </row>
    <row r="5145" spans="1:10" ht="15.95" customHeight="1" x14ac:dyDescent="0.25">
      <c r="D5145" s="109"/>
      <c r="G5145" s="157"/>
    </row>
    <row r="5146" spans="1:10" ht="15.95" customHeight="1" x14ac:dyDescent="0.25">
      <c r="A5146" s="172" t="s">
        <v>1196</v>
      </c>
      <c r="B5146" s="168" t="s">
        <v>1197</v>
      </c>
      <c r="G5146" s="157"/>
    </row>
    <row r="5147" spans="1:10" ht="15.95" customHeight="1" thickBot="1" x14ac:dyDescent="0.3">
      <c r="B5147" s="109" t="s">
        <v>1198</v>
      </c>
      <c r="C5147" s="104" t="s">
        <v>1199</v>
      </c>
      <c r="G5147" s="157"/>
      <c r="J5147" s="110">
        <f>I5162</f>
        <v>115607</v>
      </c>
    </row>
    <row r="5148" spans="1:10" ht="15.95" customHeight="1" thickBot="1" x14ac:dyDescent="0.3">
      <c r="C5148" s="111" t="s">
        <v>328</v>
      </c>
      <c r="D5148" s="112" t="s">
        <v>359</v>
      </c>
      <c r="E5148" s="113" t="s">
        <v>360</v>
      </c>
      <c r="F5148" s="113" t="s">
        <v>330</v>
      </c>
      <c r="G5148" s="114" t="s">
        <v>361</v>
      </c>
      <c r="H5148" s="112" t="s">
        <v>362</v>
      </c>
      <c r="I5148" s="115" t="s">
        <v>363</v>
      </c>
    </row>
    <row r="5149" spans="1:10" ht="15.95" customHeight="1" x14ac:dyDescent="0.25">
      <c r="C5149" s="116" t="s">
        <v>364</v>
      </c>
      <c r="D5149" s="117" t="s">
        <v>365</v>
      </c>
      <c r="E5149" s="118"/>
      <c r="F5149" s="118"/>
      <c r="G5149" s="165"/>
      <c r="H5149" s="144"/>
      <c r="I5149" s="126"/>
    </row>
    <row r="5150" spans="1:10" ht="15.95" customHeight="1" x14ac:dyDescent="0.25">
      <c r="C5150" s="122"/>
      <c r="D5150" s="117" t="s">
        <v>366</v>
      </c>
      <c r="E5150" s="123" t="s">
        <v>367</v>
      </c>
      <c r="F5150" s="123" t="s">
        <v>368</v>
      </c>
      <c r="G5150" s="124">
        <v>0.15</v>
      </c>
      <c r="H5150" s="125">
        <f>VLOOKUP(D5150,Upah,8,FALSE)</f>
        <v>125000</v>
      </c>
      <c r="I5150" s="126">
        <f>G5150*H5150</f>
        <v>18750</v>
      </c>
    </row>
    <row r="5151" spans="1:10" ht="15.95" customHeight="1" x14ac:dyDescent="0.25">
      <c r="C5151" s="122"/>
      <c r="D5151" s="117" t="s">
        <v>369</v>
      </c>
      <c r="E5151" s="123" t="s">
        <v>370</v>
      </c>
      <c r="F5151" s="123" t="s">
        <v>368</v>
      </c>
      <c r="G5151" s="124">
        <v>7.4999999999999997E-2</v>
      </c>
      <c r="H5151" s="125">
        <f>VLOOKUP(D5151,Upah,8,FALSE)</f>
        <v>150000</v>
      </c>
      <c r="I5151" s="126">
        <f>G5151*H5151</f>
        <v>11250</v>
      </c>
    </row>
    <row r="5152" spans="1:10" ht="15.95" customHeight="1" x14ac:dyDescent="0.25">
      <c r="C5152" s="122"/>
      <c r="D5152" s="117" t="s">
        <v>429</v>
      </c>
      <c r="E5152" s="123" t="s">
        <v>372</v>
      </c>
      <c r="F5152" s="123" t="s">
        <v>368</v>
      </c>
      <c r="G5152" s="124">
        <v>7.4999999999999997E-3</v>
      </c>
      <c r="H5152" s="125">
        <f>VLOOKUP(D5152,Upah,8,FALSE)</f>
        <v>165000</v>
      </c>
      <c r="I5152" s="126">
        <f>G5152*H5152</f>
        <v>1237.5</v>
      </c>
    </row>
    <row r="5153" spans="2:10" ht="15.95" customHeight="1" thickBot="1" x14ac:dyDescent="0.3">
      <c r="C5153" s="122"/>
      <c r="D5153" s="117" t="s">
        <v>373</v>
      </c>
      <c r="E5153" s="123" t="s">
        <v>374</v>
      </c>
      <c r="F5153" s="123" t="s">
        <v>368</v>
      </c>
      <c r="G5153" s="124">
        <v>8.0000000000000002E-3</v>
      </c>
      <c r="H5153" s="125">
        <f>VLOOKUP(D5153,Upah,8,FALSE)</f>
        <v>170000</v>
      </c>
      <c r="I5153" s="126">
        <f>G5153*H5153</f>
        <v>1360</v>
      </c>
    </row>
    <row r="5154" spans="2:10" ht="15.95" customHeight="1" thickBot="1" x14ac:dyDescent="0.3">
      <c r="C5154" s="132"/>
      <c r="D5154" s="133"/>
      <c r="E5154" s="134"/>
      <c r="F5154" s="134"/>
      <c r="G5154" s="135" t="s">
        <v>375</v>
      </c>
      <c r="H5154" s="136"/>
      <c r="I5154" s="137">
        <f>SUM(I5150:I5153)</f>
        <v>32597.5</v>
      </c>
    </row>
    <row r="5155" spans="2:10" ht="15.95" customHeight="1" x14ac:dyDescent="0.25">
      <c r="C5155" s="116" t="s">
        <v>376</v>
      </c>
      <c r="D5155" s="117" t="s">
        <v>377</v>
      </c>
      <c r="E5155" s="118"/>
      <c r="F5155" s="118"/>
      <c r="G5155" s="165"/>
      <c r="H5155" s="144"/>
      <c r="I5155" s="126"/>
    </row>
    <row r="5156" spans="2:10" ht="15.95" customHeight="1" thickBot="1" x14ac:dyDescent="0.3">
      <c r="C5156" s="122"/>
      <c r="D5156" s="117" t="s">
        <v>1200</v>
      </c>
      <c r="E5156" s="118"/>
      <c r="F5156" s="123" t="s">
        <v>418</v>
      </c>
      <c r="G5156" s="124">
        <v>25</v>
      </c>
      <c r="H5156" s="144">
        <f>VLOOKUP(D5156,Bahan,6,FALSE)</f>
        <v>2900</v>
      </c>
      <c r="I5156" s="126">
        <f>G5156*H5156</f>
        <v>72500</v>
      </c>
    </row>
    <row r="5157" spans="2:10" ht="15.95" customHeight="1" thickBot="1" x14ac:dyDescent="0.3">
      <c r="C5157" s="132"/>
      <c r="D5157" s="133"/>
      <c r="E5157" s="134"/>
      <c r="F5157" s="134"/>
      <c r="G5157" s="135" t="s">
        <v>386</v>
      </c>
      <c r="H5157" s="136"/>
      <c r="I5157" s="137">
        <f>SUM(I5155:I5156)</f>
        <v>72500</v>
      </c>
    </row>
    <row r="5158" spans="2:10" ht="15.95" customHeight="1" thickBot="1" x14ac:dyDescent="0.3">
      <c r="C5158" s="116" t="s">
        <v>387</v>
      </c>
      <c r="D5158" s="117" t="s">
        <v>388</v>
      </c>
      <c r="E5158" s="118"/>
      <c r="F5158" s="118"/>
      <c r="G5158" s="165"/>
      <c r="H5158" s="144">
        <f>IF(AND(D5158&lt;&gt;"",F5158&lt;&gt;""),IF(C5158="",IF(F5158="OH",VLOOKUP(D5158,[1]UPAH!$B$3:$G$32,7,0),VLOOKUP(D5158,[1]BAHAN!$A$2:$D$3,4,0)),0),0)</f>
        <v>0</v>
      </c>
      <c r="I5158" s="126">
        <f>G5158*H5158</f>
        <v>0</v>
      </c>
    </row>
    <row r="5159" spans="2:10" ht="15.95" customHeight="1" thickBot="1" x14ac:dyDescent="0.3">
      <c r="C5159" s="132"/>
      <c r="D5159" s="133"/>
      <c r="E5159" s="134"/>
      <c r="F5159" s="134"/>
      <c r="G5159" s="135" t="s">
        <v>389</v>
      </c>
      <c r="H5159" s="136"/>
      <c r="I5159" s="137">
        <f>I5158</f>
        <v>0</v>
      </c>
    </row>
    <row r="5160" spans="2:10" ht="15.95" customHeight="1" x14ac:dyDescent="0.25">
      <c r="C5160" s="158" t="s">
        <v>390</v>
      </c>
      <c r="D5160" s="159" t="s">
        <v>391</v>
      </c>
      <c r="E5160" s="160"/>
      <c r="F5160" s="160"/>
      <c r="G5160" s="161"/>
      <c r="H5160" s="162">
        <f>IF(AND(D5160&lt;&gt;"",F5160&lt;&gt;""),IF(C5160="",IF(F5160="OH",VLOOKUP(D5160,[1]UPAH!$B$3:$G$32,7,0),VLOOKUP(D5160,[1]BAHAN!$A$2:$D$3,4,0)),0),0)</f>
        <v>0</v>
      </c>
      <c r="I5160" s="126">
        <f>SUM(I5149:I5159)/2</f>
        <v>105097.5</v>
      </c>
    </row>
    <row r="5161" spans="2:10" ht="15.95" customHeight="1" thickBot="1" x14ac:dyDescent="0.3">
      <c r="C5161" s="147" t="s">
        <v>392</v>
      </c>
      <c r="D5161" s="148" t="s">
        <v>393</v>
      </c>
      <c r="E5161" s="149"/>
      <c r="F5161" s="149"/>
      <c r="G5161" s="164">
        <v>0.1</v>
      </c>
      <c r="H5161" s="151"/>
      <c r="I5161" s="146">
        <f>G5161*I5160</f>
        <v>10509.75</v>
      </c>
    </row>
    <row r="5162" spans="2:10" ht="15.95" customHeight="1" thickBot="1" x14ac:dyDescent="0.3">
      <c r="C5162" s="111" t="s">
        <v>394</v>
      </c>
      <c r="D5162" s="112" t="s">
        <v>395</v>
      </c>
      <c r="E5162" s="134"/>
      <c r="F5162" s="134"/>
      <c r="G5162" s="156"/>
      <c r="H5162" s="136">
        <f>IF(AND(D5162&lt;&gt;"",F5162&lt;&gt;""),IF(C5162="",IF(F5162="OH",VLOOKUP(D5162,[1]UPAH!$B$3:$G$32,7,0),VLOOKUP(D5162,[1]BAHAN!$A$2:$D$3,4,0)),0),0)</f>
        <v>0</v>
      </c>
      <c r="I5162" s="137">
        <f>ROUNDDOWN(I5160+I5161,0)</f>
        <v>115607</v>
      </c>
    </row>
    <row r="5163" spans="2:10" ht="15.95" customHeight="1" x14ac:dyDescent="0.25">
      <c r="C5163" s="109"/>
      <c r="D5163" s="109"/>
      <c r="G5163" s="157"/>
    </row>
    <row r="5164" spans="2:10" ht="15.95" customHeight="1" thickBot="1" x14ac:dyDescent="0.3">
      <c r="B5164" s="109" t="s">
        <v>1201</v>
      </c>
      <c r="C5164" s="104" t="s">
        <v>1202</v>
      </c>
      <c r="G5164" s="157"/>
      <c r="J5164" s="110">
        <f>I5179</f>
        <v>85173</v>
      </c>
    </row>
    <row r="5165" spans="2:10" ht="15.95" customHeight="1" thickBot="1" x14ac:dyDescent="0.3">
      <c r="C5165" s="111" t="s">
        <v>328</v>
      </c>
      <c r="D5165" s="112" t="s">
        <v>359</v>
      </c>
      <c r="E5165" s="113" t="s">
        <v>360</v>
      </c>
      <c r="F5165" s="113" t="s">
        <v>330</v>
      </c>
      <c r="G5165" s="114" t="s">
        <v>361</v>
      </c>
      <c r="H5165" s="112" t="s">
        <v>362</v>
      </c>
      <c r="I5165" s="115" t="s">
        <v>363</v>
      </c>
    </row>
    <row r="5166" spans="2:10" ht="15.95" customHeight="1" x14ac:dyDescent="0.25">
      <c r="C5166" s="116" t="s">
        <v>364</v>
      </c>
      <c r="D5166" s="117" t="s">
        <v>365</v>
      </c>
      <c r="E5166" s="118"/>
      <c r="F5166" s="118"/>
      <c r="G5166" s="165"/>
      <c r="H5166" s="144"/>
      <c r="I5166" s="126"/>
    </row>
    <row r="5167" spans="2:10" ht="15.95" customHeight="1" x14ac:dyDescent="0.25">
      <c r="C5167" s="122"/>
      <c r="D5167" s="117" t="s">
        <v>366</v>
      </c>
      <c r="E5167" s="123" t="s">
        <v>367</v>
      </c>
      <c r="F5167" s="123" t="s">
        <v>368</v>
      </c>
      <c r="G5167" s="124">
        <v>0.15</v>
      </c>
      <c r="H5167" s="125">
        <f>VLOOKUP(D5167,Upah,8,FALSE)</f>
        <v>125000</v>
      </c>
      <c r="I5167" s="126">
        <f>G5167*H5167</f>
        <v>18750</v>
      </c>
    </row>
    <row r="5168" spans="2:10" ht="15.95" customHeight="1" x14ac:dyDescent="0.25">
      <c r="C5168" s="122"/>
      <c r="D5168" s="117" t="s">
        <v>369</v>
      </c>
      <c r="E5168" s="123" t="s">
        <v>370</v>
      </c>
      <c r="F5168" s="123" t="s">
        <v>368</v>
      </c>
      <c r="G5168" s="124">
        <v>7.4999999999999997E-2</v>
      </c>
      <c r="H5168" s="125">
        <f>VLOOKUP(D5168,Upah,8,FALSE)</f>
        <v>150000</v>
      </c>
      <c r="I5168" s="126">
        <f>G5168*H5168</f>
        <v>11250</v>
      </c>
    </row>
    <row r="5169" spans="2:10" ht="15.95" customHeight="1" x14ac:dyDescent="0.25">
      <c r="C5169" s="122"/>
      <c r="D5169" s="117" t="s">
        <v>429</v>
      </c>
      <c r="E5169" s="123" t="s">
        <v>372</v>
      </c>
      <c r="F5169" s="123" t="s">
        <v>368</v>
      </c>
      <c r="G5169" s="124">
        <v>8.0000000000000002E-3</v>
      </c>
      <c r="H5169" s="125">
        <f>VLOOKUP(D5169,Upah,8,FALSE)</f>
        <v>165000</v>
      </c>
      <c r="I5169" s="126">
        <f>G5169*H5169</f>
        <v>1320</v>
      </c>
    </row>
    <row r="5170" spans="2:10" ht="15.95" customHeight="1" thickBot="1" x14ac:dyDescent="0.3">
      <c r="C5170" s="122"/>
      <c r="D5170" s="117" t="s">
        <v>373</v>
      </c>
      <c r="E5170" s="123" t="s">
        <v>374</v>
      </c>
      <c r="F5170" s="123" t="s">
        <v>368</v>
      </c>
      <c r="G5170" s="124">
        <v>8.0000000000000002E-3</v>
      </c>
      <c r="H5170" s="125">
        <f>VLOOKUP(D5170,Upah,8,FALSE)</f>
        <v>170000</v>
      </c>
      <c r="I5170" s="126">
        <f>G5170*H5170</f>
        <v>1360</v>
      </c>
    </row>
    <row r="5171" spans="2:10" ht="15.95" customHeight="1" thickBot="1" x14ac:dyDescent="0.3">
      <c r="C5171" s="132"/>
      <c r="D5171" s="133"/>
      <c r="E5171" s="134"/>
      <c r="F5171" s="134"/>
      <c r="G5171" s="135" t="s">
        <v>375</v>
      </c>
      <c r="H5171" s="136"/>
      <c r="I5171" s="137">
        <f>SUM(I5167:I5170)</f>
        <v>32680</v>
      </c>
    </row>
    <row r="5172" spans="2:10" ht="15.95" customHeight="1" x14ac:dyDescent="0.25">
      <c r="C5172" s="116" t="s">
        <v>376</v>
      </c>
      <c r="D5172" s="117" t="s">
        <v>377</v>
      </c>
      <c r="E5172" s="118"/>
      <c r="F5172" s="118"/>
      <c r="G5172" s="165"/>
      <c r="H5172" s="144"/>
      <c r="I5172" s="126"/>
    </row>
    <row r="5173" spans="2:10" ht="15.95" customHeight="1" thickBot="1" x14ac:dyDescent="0.3">
      <c r="C5173" s="122"/>
      <c r="D5173" s="117" t="s">
        <v>1203</v>
      </c>
      <c r="E5173" s="118"/>
      <c r="F5173" s="123" t="s">
        <v>418</v>
      </c>
      <c r="G5173" s="124">
        <v>25</v>
      </c>
      <c r="H5173" s="144">
        <f>VLOOKUP(D5173,Bahan,6,FALSE)</f>
        <v>1790</v>
      </c>
      <c r="I5173" s="126">
        <f>G5173*H5173</f>
        <v>44750</v>
      </c>
    </row>
    <row r="5174" spans="2:10" ht="15.95" customHeight="1" thickBot="1" x14ac:dyDescent="0.3">
      <c r="C5174" s="132"/>
      <c r="D5174" s="133"/>
      <c r="E5174" s="134"/>
      <c r="F5174" s="134"/>
      <c r="G5174" s="135" t="s">
        <v>386</v>
      </c>
      <c r="H5174" s="136"/>
      <c r="I5174" s="137">
        <f>SUM(I5172:I5173)</f>
        <v>44750</v>
      </c>
    </row>
    <row r="5175" spans="2:10" ht="15.95" customHeight="1" thickBot="1" x14ac:dyDescent="0.3">
      <c r="C5175" s="116" t="s">
        <v>387</v>
      </c>
      <c r="D5175" s="117" t="s">
        <v>388</v>
      </c>
      <c r="E5175" s="118"/>
      <c r="F5175" s="118"/>
      <c r="G5175" s="165"/>
      <c r="H5175" s="144">
        <f>IF(AND(D5175&lt;&gt;"",F5175&lt;&gt;""),IF(C5175="",IF(F5175="OH",VLOOKUP(D5175,[1]UPAH!$B$3:$G$32,7,0),VLOOKUP(D5175,[1]BAHAN!$A$2:$D$3,4,0)),0),0)</f>
        <v>0</v>
      </c>
      <c r="I5175" s="126">
        <f>G5175*H5175</f>
        <v>0</v>
      </c>
    </row>
    <row r="5176" spans="2:10" ht="15.95" customHeight="1" thickBot="1" x14ac:dyDescent="0.3">
      <c r="C5176" s="132"/>
      <c r="D5176" s="133"/>
      <c r="E5176" s="134"/>
      <c r="F5176" s="134"/>
      <c r="G5176" s="135" t="s">
        <v>389</v>
      </c>
      <c r="H5176" s="136"/>
      <c r="I5176" s="137">
        <f>I5175</f>
        <v>0</v>
      </c>
    </row>
    <row r="5177" spans="2:10" ht="15.95" customHeight="1" x14ac:dyDescent="0.25">
      <c r="C5177" s="158" t="s">
        <v>390</v>
      </c>
      <c r="D5177" s="159" t="s">
        <v>391</v>
      </c>
      <c r="E5177" s="160"/>
      <c r="F5177" s="160"/>
      <c r="G5177" s="161"/>
      <c r="H5177" s="162">
        <f>IF(AND(D5177&lt;&gt;"",F5177&lt;&gt;""),IF(C5177="",IF(F5177="OH",VLOOKUP(D5177,[1]UPAH!$B$3:$G$32,7,0),VLOOKUP(D5177,[1]BAHAN!$A$2:$D$3,4,0)),0),0)</f>
        <v>0</v>
      </c>
      <c r="I5177" s="126">
        <f>SUM(I5166:I5176)/2</f>
        <v>77430</v>
      </c>
    </row>
    <row r="5178" spans="2:10" ht="15.95" customHeight="1" thickBot="1" x14ac:dyDescent="0.3">
      <c r="C5178" s="147" t="s">
        <v>392</v>
      </c>
      <c r="D5178" s="148" t="s">
        <v>393</v>
      </c>
      <c r="E5178" s="149"/>
      <c r="F5178" s="149"/>
      <c r="G5178" s="164">
        <v>0.1</v>
      </c>
      <c r="H5178" s="151"/>
      <c r="I5178" s="146">
        <f>G5178*I5177</f>
        <v>7743</v>
      </c>
    </row>
    <row r="5179" spans="2:10" ht="15.95" customHeight="1" thickBot="1" x14ac:dyDescent="0.3">
      <c r="C5179" s="111" t="s">
        <v>394</v>
      </c>
      <c r="D5179" s="112" t="s">
        <v>395</v>
      </c>
      <c r="E5179" s="134"/>
      <c r="F5179" s="134"/>
      <c r="G5179" s="156"/>
      <c r="H5179" s="136">
        <f>IF(AND(D5179&lt;&gt;"",F5179&lt;&gt;""),IF(C5179="",IF(F5179="OH",VLOOKUP(D5179,[1]UPAH!$B$3:$G$32,7,0),VLOOKUP(D5179,[1]BAHAN!$A$2:$D$3,4,0)),0),0)</f>
        <v>0</v>
      </c>
      <c r="I5179" s="137">
        <f>ROUNDDOWN(I5177+I5178,0)</f>
        <v>85173</v>
      </c>
    </row>
    <row r="5180" spans="2:10" ht="15.95" customHeight="1" x14ac:dyDescent="0.25">
      <c r="C5180" s="109"/>
      <c r="D5180" s="109"/>
      <c r="G5180" s="157"/>
    </row>
    <row r="5181" spans="2:10" ht="15.95" customHeight="1" thickBot="1" x14ac:dyDescent="0.3">
      <c r="B5181" s="109" t="s">
        <v>1204</v>
      </c>
      <c r="C5181" s="104" t="s">
        <v>1205</v>
      </c>
      <c r="G5181" s="157"/>
      <c r="J5181" s="110">
        <f>I5196</f>
        <v>59576</v>
      </c>
    </row>
    <row r="5182" spans="2:10" ht="15.95" customHeight="1" thickBot="1" x14ac:dyDescent="0.3">
      <c r="C5182" s="111" t="s">
        <v>328</v>
      </c>
      <c r="D5182" s="112" t="s">
        <v>359</v>
      </c>
      <c r="E5182" s="113" t="s">
        <v>360</v>
      </c>
      <c r="F5182" s="113" t="s">
        <v>330</v>
      </c>
      <c r="G5182" s="114" t="s">
        <v>361</v>
      </c>
      <c r="H5182" s="112" t="s">
        <v>362</v>
      </c>
      <c r="I5182" s="115" t="s">
        <v>363</v>
      </c>
    </row>
    <row r="5183" spans="2:10" ht="15.95" customHeight="1" x14ac:dyDescent="0.25">
      <c r="C5183" s="116" t="s">
        <v>364</v>
      </c>
      <c r="D5183" s="117" t="s">
        <v>365</v>
      </c>
      <c r="E5183" s="118"/>
      <c r="F5183" s="118"/>
      <c r="G5183" s="165"/>
      <c r="H5183" s="144"/>
      <c r="I5183" s="126"/>
    </row>
    <row r="5184" spans="2:10" ht="15.95" customHeight="1" x14ac:dyDescent="0.25">
      <c r="C5184" s="122"/>
      <c r="D5184" s="117" t="s">
        <v>366</v>
      </c>
      <c r="E5184" s="123" t="s">
        <v>367</v>
      </c>
      <c r="F5184" s="123" t="s">
        <v>368</v>
      </c>
      <c r="G5184" s="124">
        <v>0.15</v>
      </c>
      <c r="H5184" s="125">
        <f>VLOOKUP(D5184,Upah,8,FALSE)</f>
        <v>125000</v>
      </c>
      <c r="I5184" s="126">
        <f>G5184*H5184</f>
        <v>18750</v>
      </c>
    </row>
    <row r="5185" spans="2:10" ht="15.95" customHeight="1" x14ac:dyDescent="0.25">
      <c r="C5185" s="122"/>
      <c r="D5185" s="117" t="s">
        <v>369</v>
      </c>
      <c r="E5185" s="123" t="s">
        <v>370</v>
      </c>
      <c r="F5185" s="123" t="s">
        <v>368</v>
      </c>
      <c r="G5185" s="124">
        <v>7.4999999999999997E-2</v>
      </c>
      <c r="H5185" s="125">
        <f>VLOOKUP(D5185,Upah,8,FALSE)</f>
        <v>150000</v>
      </c>
      <c r="I5185" s="126">
        <f>G5185*H5185</f>
        <v>11250</v>
      </c>
    </row>
    <row r="5186" spans="2:10" ht="15.95" customHeight="1" x14ac:dyDescent="0.25">
      <c r="C5186" s="122"/>
      <c r="D5186" s="117" t="s">
        <v>429</v>
      </c>
      <c r="E5186" s="123" t="s">
        <v>372</v>
      </c>
      <c r="F5186" s="123" t="s">
        <v>368</v>
      </c>
      <c r="G5186" s="124">
        <v>8.0000000000000002E-3</v>
      </c>
      <c r="H5186" s="125">
        <f>VLOOKUP(D5186,Upah,8,FALSE)</f>
        <v>165000</v>
      </c>
      <c r="I5186" s="126">
        <f>G5186*H5186</f>
        <v>1320</v>
      </c>
    </row>
    <row r="5187" spans="2:10" ht="15.95" customHeight="1" thickBot="1" x14ac:dyDescent="0.3">
      <c r="C5187" s="122"/>
      <c r="D5187" s="117" t="s">
        <v>373</v>
      </c>
      <c r="E5187" s="123" t="s">
        <v>374</v>
      </c>
      <c r="F5187" s="123" t="s">
        <v>368</v>
      </c>
      <c r="G5187" s="124">
        <v>8.0000000000000002E-3</v>
      </c>
      <c r="H5187" s="125">
        <f>VLOOKUP(D5187,Upah,8,FALSE)</f>
        <v>170000</v>
      </c>
      <c r="I5187" s="126">
        <f>G5187*H5187</f>
        <v>1360</v>
      </c>
    </row>
    <row r="5188" spans="2:10" ht="15.95" customHeight="1" thickBot="1" x14ac:dyDescent="0.3">
      <c r="C5188" s="132"/>
      <c r="D5188" s="133"/>
      <c r="E5188" s="134"/>
      <c r="F5188" s="134"/>
      <c r="G5188" s="135" t="s">
        <v>375</v>
      </c>
      <c r="H5188" s="136"/>
      <c r="I5188" s="137">
        <f>SUM(I5184:I5187)</f>
        <v>32680</v>
      </c>
    </row>
    <row r="5189" spans="2:10" ht="15.95" customHeight="1" x14ac:dyDescent="0.25">
      <c r="C5189" s="116" t="s">
        <v>376</v>
      </c>
      <c r="D5189" s="117" t="s">
        <v>377</v>
      </c>
      <c r="E5189" s="118"/>
      <c r="F5189" s="118"/>
      <c r="G5189" s="165"/>
      <c r="H5189" s="144"/>
      <c r="I5189" s="126"/>
    </row>
    <row r="5190" spans="2:10" ht="15.95" customHeight="1" thickBot="1" x14ac:dyDescent="0.3">
      <c r="C5190" s="122"/>
      <c r="D5190" s="117" t="s">
        <v>1203</v>
      </c>
      <c r="E5190" s="118"/>
      <c r="F5190" s="123" t="s">
        <v>418</v>
      </c>
      <c r="G5190" s="124">
        <v>12</v>
      </c>
      <c r="H5190" s="144">
        <f>VLOOKUP(D5190,Bahan,6,FALSE)</f>
        <v>1790</v>
      </c>
      <c r="I5190" s="126">
        <f>G5190*H5190</f>
        <v>21480</v>
      </c>
    </row>
    <row r="5191" spans="2:10" ht="15.95" customHeight="1" thickBot="1" x14ac:dyDescent="0.3">
      <c r="C5191" s="132"/>
      <c r="D5191" s="133"/>
      <c r="E5191" s="134"/>
      <c r="F5191" s="134"/>
      <c r="G5191" s="135" t="s">
        <v>386</v>
      </c>
      <c r="H5191" s="136"/>
      <c r="I5191" s="137">
        <f>SUM(I5189:I5190)</f>
        <v>21480</v>
      </c>
    </row>
    <row r="5192" spans="2:10" ht="15.95" customHeight="1" thickBot="1" x14ac:dyDescent="0.3">
      <c r="C5192" s="116" t="s">
        <v>387</v>
      </c>
      <c r="D5192" s="117" t="s">
        <v>388</v>
      </c>
      <c r="E5192" s="118"/>
      <c r="F5192" s="118"/>
      <c r="G5192" s="165"/>
      <c r="H5192" s="144">
        <f>IF(AND(D5192&lt;&gt;"",F5192&lt;&gt;""),IF(C5192="",IF(F5192="OH",VLOOKUP(D5192,[1]UPAH!$B$3:$G$32,7,0),VLOOKUP(D5192,[1]BAHAN!$A$2:$D$3,4,0)),0),0)</f>
        <v>0</v>
      </c>
      <c r="I5192" s="126">
        <f>G5192*H5192</f>
        <v>0</v>
      </c>
    </row>
    <row r="5193" spans="2:10" ht="15.95" customHeight="1" thickBot="1" x14ac:dyDescent="0.3">
      <c r="C5193" s="132"/>
      <c r="D5193" s="133"/>
      <c r="E5193" s="134"/>
      <c r="F5193" s="134"/>
      <c r="G5193" s="135" t="s">
        <v>389</v>
      </c>
      <c r="H5193" s="136"/>
      <c r="I5193" s="137">
        <f>I5192</f>
        <v>0</v>
      </c>
    </row>
    <row r="5194" spans="2:10" ht="15.95" customHeight="1" x14ac:dyDescent="0.25">
      <c r="C5194" s="158" t="s">
        <v>390</v>
      </c>
      <c r="D5194" s="159" t="s">
        <v>391</v>
      </c>
      <c r="E5194" s="160"/>
      <c r="F5194" s="160"/>
      <c r="G5194" s="161"/>
      <c r="H5194" s="162">
        <f>IF(AND(D5194&lt;&gt;"",F5194&lt;&gt;""),IF(C5194="",IF(F5194="OH",VLOOKUP(D5194,[1]UPAH!$B$3:$G$32,7,0),VLOOKUP(D5194,[1]BAHAN!$A$2:$D$3,4,0)),0),0)</f>
        <v>0</v>
      </c>
      <c r="I5194" s="126">
        <f>SUM(I5183:I5193)/2</f>
        <v>54160</v>
      </c>
    </row>
    <row r="5195" spans="2:10" ht="15.95" customHeight="1" thickBot="1" x14ac:dyDescent="0.3">
      <c r="C5195" s="147" t="s">
        <v>392</v>
      </c>
      <c r="D5195" s="148" t="s">
        <v>393</v>
      </c>
      <c r="E5195" s="149"/>
      <c r="F5195" s="149"/>
      <c r="G5195" s="164">
        <v>0.1</v>
      </c>
      <c r="H5195" s="151"/>
      <c r="I5195" s="146">
        <f>G5195*I5194</f>
        <v>5416</v>
      </c>
    </row>
    <row r="5196" spans="2:10" ht="15.95" customHeight="1" thickBot="1" x14ac:dyDescent="0.3">
      <c r="C5196" s="111" t="s">
        <v>394</v>
      </c>
      <c r="D5196" s="112" t="s">
        <v>395</v>
      </c>
      <c r="E5196" s="134"/>
      <c r="F5196" s="134"/>
      <c r="G5196" s="156"/>
      <c r="H5196" s="136">
        <f>IF(AND(D5196&lt;&gt;"",F5196&lt;&gt;""),IF(C5196="",IF(F5196="OH",VLOOKUP(D5196,[1]UPAH!$B$3:$G$32,7,0),VLOOKUP(D5196,[1]BAHAN!$A$2:$D$3,4,0)),0),0)</f>
        <v>0</v>
      </c>
      <c r="I5196" s="137">
        <f>ROUNDDOWN(I5194+I5195,0)</f>
        <v>59576</v>
      </c>
    </row>
    <row r="5197" spans="2:10" ht="15.95" customHeight="1" x14ac:dyDescent="0.25">
      <c r="C5197" s="109"/>
      <c r="D5197" s="109"/>
      <c r="G5197" s="157"/>
    </row>
    <row r="5198" spans="2:10" ht="15.95" customHeight="1" thickBot="1" x14ac:dyDescent="0.3">
      <c r="B5198" s="109" t="s">
        <v>1206</v>
      </c>
      <c r="C5198" s="104" t="s">
        <v>1207</v>
      </c>
      <c r="G5198" s="157"/>
      <c r="J5198" s="110">
        <f>I5215</f>
        <v>151296</v>
      </c>
    </row>
    <row r="5199" spans="2:10" ht="15.95" customHeight="1" thickBot="1" x14ac:dyDescent="0.3">
      <c r="C5199" s="111" t="s">
        <v>328</v>
      </c>
      <c r="D5199" s="112" t="s">
        <v>359</v>
      </c>
      <c r="E5199" s="113" t="s">
        <v>360</v>
      </c>
      <c r="F5199" s="113" t="s">
        <v>330</v>
      </c>
      <c r="G5199" s="114" t="s">
        <v>361</v>
      </c>
      <c r="H5199" s="112" t="s">
        <v>362</v>
      </c>
      <c r="I5199" s="115" t="s">
        <v>363</v>
      </c>
    </row>
    <row r="5200" spans="2:10" ht="15.95" customHeight="1" x14ac:dyDescent="0.25">
      <c r="C5200" s="116" t="s">
        <v>364</v>
      </c>
      <c r="D5200" s="117" t="s">
        <v>365</v>
      </c>
      <c r="E5200" s="118"/>
      <c r="F5200" s="118"/>
      <c r="G5200" s="165"/>
      <c r="H5200" s="144"/>
      <c r="I5200" s="126"/>
    </row>
    <row r="5201" spans="3:9" ht="15.95" customHeight="1" x14ac:dyDescent="0.25">
      <c r="C5201" s="122"/>
      <c r="D5201" s="117" t="s">
        <v>366</v>
      </c>
      <c r="E5201" s="123" t="s">
        <v>367</v>
      </c>
      <c r="F5201" s="123" t="s">
        <v>368</v>
      </c>
      <c r="G5201" s="124">
        <v>0.4</v>
      </c>
      <c r="H5201" s="125">
        <f>VLOOKUP(D5201,Upah,8,FALSE)</f>
        <v>125000</v>
      </c>
      <c r="I5201" s="126">
        <f>G5201*H5201</f>
        <v>50000</v>
      </c>
    </row>
    <row r="5202" spans="3:9" ht="15.95" customHeight="1" x14ac:dyDescent="0.25">
      <c r="C5202" s="122"/>
      <c r="D5202" s="117" t="s">
        <v>369</v>
      </c>
      <c r="E5202" s="123" t="s">
        <v>370</v>
      </c>
      <c r="F5202" s="123" t="s">
        <v>368</v>
      </c>
      <c r="G5202" s="124">
        <v>0.2</v>
      </c>
      <c r="H5202" s="125">
        <f>VLOOKUP(D5202,Upah,8,FALSE)</f>
        <v>150000</v>
      </c>
      <c r="I5202" s="126">
        <f>G5202*H5202</f>
        <v>30000</v>
      </c>
    </row>
    <row r="5203" spans="3:9" ht="15.95" customHeight="1" x14ac:dyDescent="0.25">
      <c r="C5203" s="122"/>
      <c r="D5203" s="117" t="s">
        <v>429</v>
      </c>
      <c r="E5203" s="123" t="s">
        <v>372</v>
      </c>
      <c r="F5203" s="123" t="s">
        <v>368</v>
      </c>
      <c r="G5203" s="124">
        <v>0.02</v>
      </c>
      <c r="H5203" s="125">
        <f>VLOOKUP(D5203,Upah,8,FALSE)</f>
        <v>165000</v>
      </c>
      <c r="I5203" s="126">
        <f>G5203*H5203</f>
        <v>3300</v>
      </c>
    </row>
    <row r="5204" spans="3:9" ht="15.95" customHeight="1" thickBot="1" x14ac:dyDescent="0.3">
      <c r="C5204" s="122"/>
      <c r="D5204" s="117" t="s">
        <v>373</v>
      </c>
      <c r="E5204" s="123" t="s">
        <v>374</v>
      </c>
      <c r="F5204" s="123" t="s">
        <v>368</v>
      </c>
      <c r="G5204" s="124">
        <v>2E-3</v>
      </c>
      <c r="H5204" s="125">
        <f>VLOOKUP(D5204,Upah,8,FALSE)</f>
        <v>170000</v>
      </c>
      <c r="I5204" s="126">
        <f>G5204*H5204</f>
        <v>340</v>
      </c>
    </row>
    <row r="5205" spans="3:9" ht="15.95" customHeight="1" thickBot="1" x14ac:dyDescent="0.3">
      <c r="C5205" s="132"/>
      <c r="D5205" s="133"/>
      <c r="E5205" s="134"/>
      <c r="F5205" s="134"/>
      <c r="G5205" s="135" t="s">
        <v>375</v>
      </c>
      <c r="H5205" s="136"/>
      <c r="I5205" s="137">
        <f>SUM(I5201:I5204)</f>
        <v>83640</v>
      </c>
    </row>
    <row r="5206" spans="3:9" ht="15.95" customHeight="1" x14ac:dyDescent="0.25">
      <c r="C5206" s="116" t="s">
        <v>376</v>
      </c>
      <c r="D5206" s="117" t="s">
        <v>377</v>
      </c>
      <c r="E5206" s="118"/>
      <c r="F5206" s="118"/>
      <c r="G5206" s="165"/>
      <c r="H5206" s="144"/>
      <c r="I5206" s="126"/>
    </row>
    <row r="5207" spans="3:9" ht="15.95" customHeight="1" x14ac:dyDescent="0.25">
      <c r="C5207" s="122"/>
      <c r="D5207" s="117" t="s">
        <v>1208</v>
      </c>
      <c r="E5207" s="118"/>
      <c r="F5207" s="123" t="s">
        <v>418</v>
      </c>
      <c r="G5207" s="124">
        <v>5</v>
      </c>
      <c r="H5207" s="144">
        <f>VLOOKUP(D5207,Bahan,6,FALSE)</f>
        <v>6150</v>
      </c>
      <c r="I5207" s="126">
        <f>G5207*H5207</f>
        <v>30750</v>
      </c>
    </row>
    <row r="5208" spans="3:9" ht="15.95" customHeight="1" x14ac:dyDescent="0.25">
      <c r="C5208" s="122"/>
      <c r="D5208" s="117" t="s">
        <v>380</v>
      </c>
      <c r="E5208" s="118"/>
      <c r="F5208" s="123" t="s">
        <v>159</v>
      </c>
      <c r="G5208" s="124">
        <v>8</v>
      </c>
      <c r="H5208" s="144">
        <f>VLOOKUP(D5208,Bahan,6,FALSE)</f>
        <v>1880</v>
      </c>
      <c r="I5208" s="126">
        <f>G5208*H5208</f>
        <v>15040</v>
      </c>
    </row>
    <row r="5209" spans="3:9" ht="15.95" customHeight="1" thickBot="1" x14ac:dyDescent="0.3">
      <c r="C5209" s="122"/>
      <c r="D5209" s="117" t="s">
        <v>493</v>
      </c>
      <c r="E5209" s="118"/>
      <c r="F5209" s="123" t="s">
        <v>489</v>
      </c>
      <c r="G5209" s="124">
        <v>3.2000000000000001E-2</v>
      </c>
      <c r="H5209" s="144">
        <f>VLOOKUP(D5209,Bahan,6,FALSE)</f>
        <v>253510</v>
      </c>
      <c r="I5209" s="126">
        <f>G5209*H5209</f>
        <v>8112.3200000000006</v>
      </c>
    </row>
    <row r="5210" spans="3:9" ht="15.95" customHeight="1" thickBot="1" x14ac:dyDescent="0.3">
      <c r="C5210" s="132"/>
      <c r="D5210" s="133"/>
      <c r="E5210" s="134"/>
      <c r="F5210" s="134"/>
      <c r="G5210" s="135" t="s">
        <v>386</v>
      </c>
      <c r="H5210" s="136"/>
      <c r="I5210" s="137">
        <f>SUM(I5207:I5209)</f>
        <v>53902.32</v>
      </c>
    </row>
    <row r="5211" spans="3:9" ht="15.95" customHeight="1" thickBot="1" x14ac:dyDescent="0.3">
      <c r="C5211" s="116" t="s">
        <v>387</v>
      </c>
      <c r="D5211" s="117" t="s">
        <v>388</v>
      </c>
      <c r="E5211" s="118"/>
      <c r="F5211" s="118"/>
      <c r="G5211" s="165"/>
      <c r="H5211" s="144">
        <f>IF(AND(D5211&lt;&gt;"",F5211&lt;&gt;""),IF(C5211="",IF(F5211="OH",VLOOKUP(D5211,[1]UPAH!$B$3:$G$32,7,0),VLOOKUP(D5211,[1]BAHAN!$A$2:$D$3,4,0)),0),0)</f>
        <v>0</v>
      </c>
      <c r="I5211" s="126">
        <f>G5211*H5211</f>
        <v>0</v>
      </c>
    </row>
    <row r="5212" spans="3:9" ht="15.95" customHeight="1" thickBot="1" x14ac:dyDescent="0.3">
      <c r="C5212" s="132"/>
      <c r="D5212" s="133"/>
      <c r="E5212" s="134"/>
      <c r="F5212" s="134"/>
      <c r="G5212" s="135" t="s">
        <v>389</v>
      </c>
      <c r="H5212" s="136"/>
      <c r="I5212" s="137">
        <f>I5211</f>
        <v>0</v>
      </c>
    </row>
    <row r="5213" spans="3:9" ht="15.95" customHeight="1" x14ac:dyDescent="0.25">
      <c r="C5213" s="158" t="s">
        <v>390</v>
      </c>
      <c r="D5213" s="159" t="s">
        <v>391</v>
      </c>
      <c r="E5213" s="160"/>
      <c r="F5213" s="160"/>
      <c r="G5213" s="161"/>
      <c r="H5213" s="162">
        <f>IF(AND(D5213&lt;&gt;"",F5213&lt;&gt;""),IF(C5213="",IF(F5213="OH",VLOOKUP(D5213,[1]UPAH!$B$3:$G$32,7,0),VLOOKUP(D5213,[1]BAHAN!$A$2:$D$3,4,0)),0),0)</f>
        <v>0</v>
      </c>
      <c r="I5213" s="126">
        <f>SUM(I5201:I5212)/2</f>
        <v>137542.32</v>
      </c>
    </row>
    <row r="5214" spans="3:9" ht="15.95" customHeight="1" thickBot="1" x14ac:dyDescent="0.3">
      <c r="C5214" s="147" t="s">
        <v>392</v>
      </c>
      <c r="D5214" s="148" t="s">
        <v>393</v>
      </c>
      <c r="E5214" s="149"/>
      <c r="F5214" s="149"/>
      <c r="G5214" s="164">
        <v>0.1</v>
      </c>
      <c r="H5214" s="151"/>
      <c r="I5214" s="146">
        <f>G5214*I5213</f>
        <v>13754.232000000002</v>
      </c>
    </row>
    <row r="5215" spans="3:9" ht="15.95" customHeight="1" thickBot="1" x14ac:dyDescent="0.3">
      <c r="C5215" s="111" t="s">
        <v>394</v>
      </c>
      <c r="D5215" s="112" t="s">
        <v>395</v>
      </c>
      <c r="E5215" s="134"/>
      <c r="F5215" s="134"/>
      <c r="G5215" s="156"/>
      <c r="H5215" s="136">
        <f>IF(AND(D5215&lt;&gt;"",F5215&lt;&gt;""),IF(C5215="",IF(F5215="OH",VLOOKUP(D5215,[1]UPAH!$B$3:$G$32,7,0),VLOOKUP(D5215,[1]BAHAN!$A$2:$D$3,4,0)),0),0)</f>
        <v>0</v>
      </c>
      <c r="I5215" s="137">
        <f>ROUNDDOWN(I5213+I5214,0)</f>
        <v>151296</v>
      </c>
    </row>
    <row r="5216" spans="3:9" ht="15.95" customHeight="1" x14ac:dyDescent="0.25">
      <c r="C5216" s="109"/>
      <c r="D5216" s="109"/>
      <c r="G5216" s="157"/>
    </row>
    <row r="5217" spans="2:10" ht="15.95" customHeight="1" thickBot="1" x14ac:dyDescent="0.3">
      <c r="B5217" s="109" t="s">
        <v>1209</v>
      </c>
      <c r="C5217" s="104" t="s">
        <v>1210</v>
      </c>
      <c r="G5217" s="157"/>
      <c r="J5217" s="110">
        <f>I5234</f>
        <v>151296</v>
      </c>
    </row>
    <row r="5218" spans="2:10" ht="15.95" customHeight="1" thickBot="1" x14ac:dyDescent="0.3">
      <c r="C5218" s="111" t="s">
        <v>328</v>
      </c>
      <c r="D5218" s="112" t="s">
        <v>359</v>
      </c>
      <c r="E5218" s="113" t="s">
        <v>360</v>
      </c>
      <c r="F5218" s="113" t="s">
        <v>330</v>
      </c>
      <c r="G5218" s="114" t="s">
        <v>361</v>
      </c>
      <c r="H5218" s="112" t="s">
        <v>362</v>
      </c>
      <c r="I5218" s="115" t="s">
        <v>363</v>
      </c>
    </row>
    <row r="5219" spans="2:10" ht="15.95" customHeight="1" x14ac:dyDescent="0.25">
      <c r="C5219" s="116" t="s">
        <v>364</v>
      </c>
      <c r="D5219" s="117" t="s">
        <v>365</v>
      </c>
      <c r="E5219" s="118"/>
      <c r="F5219" s="118"/>
      <c r="G5219" s="165"/>
      <c r="H5219" s="144"/>
      <c r="I5219" s="126"/>
    </row>
    <row r="5220" spans="2:10" ht="15.95" customHeight="1" x14ac:dyDescent="0.25">
      <c r="C5220" s="122"/>
      <c r="D5220" s="117" t="s">
        <v>366</v>
      </c>
      <c r="E5220" s="123" t="s">
        <v>367</v>
      </c>
      <c r="F5220" s="123" t="s">
        <v>368</v>
      </c>
      <c r="G5220" s="124">
        <v>0.4</v>
      </c>
      <c r="H5220" s="125">
        <f>VLOOKUP(D5220,Upah,8,FALSE)</f>
        <v>125000</v>
      </c>
      <c r="I5220" s="126">
        <f>G5220*H5220</f>
        <v>50000</v>
      </c>
    </row>
    <row r="5221" spans="2:10" ht="15.95" customHeight="1" x14ac:dyDescent="0.25">
      <c r="C5221" s="122"/>
      <c r="D5221" s="117" t="s">
        <v>369</v>
      </c>
      <c r="E5221" s="123" t="s">
        <v>370</v>
      </c>
      <c r="F5221" s="123" t="s">
        <v>368</v>
      </c>
      <c r="G5221" s="124">
        <v>0.2</v>
      </c>
      <c r="H5221" s="125">
        <f>VLOOKUP(D5221,Upah,8,FALSE)</f>
        <v>150000</v>
      </c>
      <c r="I5221" s="126">
        <f>G5221*H5221</f>
        <v>30000</v>
      </c>
    </row>
    <row r="5222" spans="2:10" ht="15.95" customHeight="1" x14ac:dyDescent="0.25">
      <c r="C5222" s="122"/>
      <c r="D5222" s="117" t="s">
        <v>429</v>
      </c>
      <c r="E5222" s="123" t="s">
        <v>372</v>
      </c>
      <c r="F5222" s="123" t="s">
        <v>368</v>
      </c>
      <c r="G5222" s="124">
        <v>0.02</v>
      </c>
      <c r="H5222" s="125">
        <f>VLOOKUP(D5222,Upah,8,FALSE)</f>
        <v>165000</v>
      </c>
      <c r="I5222" s="126">
        <f>G5222*H5222</f>
        <v>3300</v>
      </c>
    </row>
    <row r="5223" spans="2:10" ht="15.95" customHeight="1" thickBot="1" x14ac:dyDescent="0.3">
      <c r="C5223" s="122"/>
      <c r="D5223" s="117" t="s">
        <v>373</v>
      </c>
      <c r="E5223" s="123" t="s">
        <v>374</v>
      </c>
      <c r="F5223" s="123" t="s">
        <v>368</v>
      </c>
      <c r="G5223" s="124">
        <v>2E-3</v>
      </c>
      <c r="H5223" s="125">
        <f>VLOOKUP(D5223,Upah,8,FALSE)</f>
        <v>170000</v>
      </c>
      <c r="I5223" s="126">
        <f>G5223*H5223</f>
        <v>340</v>
      </c>
    </row>
    <row r="5224" spans="2:10" ht="15.95" customHeight="1" thickBot="1" x14ac:dyDescent="0.3">
      <c r="C5224" s="132"/>
      <c r="D5224" s="133"/>
      <c r="E5224" s="134"/>
      <c r="F5224" s="134"/>
      <c r="G5224" s="135" t="s">
        <v>375</v>
      </c>
      <c r="H5224" s="136"/>
      <c r="I5224" s="137">
        <f>SUM(I5220:I5223)</f>
        <v>83640</v>
      </c>
    </row>
    <row r="5225" spans="2:10" ht="15.95" customHeight="1" x14ac:dyDescent="0.25">
      <c r="C5225" s="116" t="s">
        <v>376</v>
      </c>
      <c r="D5225" s="117" t="s">
        <v>377</v>
      </c>
      <c r="E5225" s="118"/>
      <c r="F5225" s="118"/>
      <c r="G5225" s="165"/>
      <c r="H5225" s="144"/>
      <c r="I5225" s="126"/>
    </row>
    <row r="5226" spans="2:10" ht="15.95" customHeight="1" x14ac:dyDescent="0.25">
      <c r="C5226" s="122"/>
      <c r="D5226" s="117" t="s">
        <v>1208</v>
      </c>
      <c r="E5226" s="118"/>
      <c r="F5226" s="123" t="s">
        <v>418</v>
      </c>
      <c r="G5226" s="124">
        <v>5</v>
      </c>
      <c r="H5226" s="144">
        <f>VLOOKUP(D5226,Bahan,6,FALSE)</f>
        <v>6150</v>
      </c>
      <c r="I5226" s="126">
        <f>G5226*H5226</f>
        <v>30750</v>
      </c>
    </row>
    <row r="5227" spans="2:10" ht="15.95" customHeight="1" x14ac:dyDescent="0.25">
      <c r="C5227" s="122"/>
      <c r="D5227" s="117" t="s">
        <v>380</v>
      </c>
      <c r="E5227" s="118"/>
      <c r="F5227" s="123" t="s">
        <v>159</v>
      </c>
      <c r="G5227" s="124">
        <v>8</v>
      </c>
      <c r="H5227" s="144">
        <f>VLOOKUP(D5227,Bahan,6,FALSE)</f>
        <v>1880</v>
      </c>
      <c r="I5227" s="126">
        <f>G5227*H5227</f>
        <v>15040</v>
      </c>
    </row>
    <row r="5228" spans="2:10" ht="15.95" customHeight="1" thickBot="1" x14ac:dyDescent="0.3">
      <c r="C5228" s="122"/>
      <c r="D5228" s="117" t="s">
        <v>493</v>
      </c>
      <c r="E5228" s="118"/>
      <c r="F5228" s="123" t="s">
        <v>489</v>
      </c>
      <c r="G5228" s="124">
        <v>3.2000000000000001E-2</v>
      </c>
      <c r="H5228" s="144">
        <f>VLOOKUP(D5228,Bahan,6,FALSE)</f>
        <v>253510</v>
      </c>
      <c r="I5228" s="126">
        <f>G5228*H5228</f>
        <v>8112.3200000000006</v>
      </c>
    </row>
    <row r="5229" spans="2:10" ht="15.95" customHeight="1" thickBot="1" x14ac:dyDescent="0.3">
      <c r="C5229" s="132"/>
      <c r="D5229" s="133"/>
      <c r="E5229" s="134"/>
      <c r="F5229" s="134"/>
      <c r="G5229" s="135" t="s">
        <v>386</v>
      </c>
      <c r="H5229" s="136"/>
      <c r="I5229" s="137">
        <f>SUM(I5226:I5228)</f>
        <v>53902.32</v>
      </c>
    </row>
    <row r="5230" spans="2:10" ht="15.95" customHeight="1" thickBot="1" x14ac:dyDescent="0.3">
      <c r="C5230" s="116" t="s">
        <v>387</v>
      </c>
      <c r="D5230" s="117" t="s">
        <v>388</v>
      </c>
      <c r="E5230" s="118"/>
      <c r="F5230" s="118"/>
      <c r="G5230" s="165"/>
      <c r="H5230" s="144">
        <f>IF(AND(D5230&lt;&gt;"",F5230&lt;&gt;""),IF(C5230="",IF(F5230="OH",VLOOKUP(D5230,[1]UPAH!$B$3:$G$32,7,0),VLOOKUP(D5230,[1]BAHAN!$A$2:$D$3,4,0)),0),0)</f>
        <v>0</v>
      </c>
      <c r="I5230" s="126">
        <f>G5230*H5230</f>
        <v>0</v>
      </c>
    </row>
    <row r="5231" spans="2:10" ht="15.95" customHeight="1" thickBot="1" x14ac:dyDescent="0.3">
      <c r="C5231" s="132"/>
      <c r="D5231" s="133"/>
      <c r="E5231" s="134"/>
      <c r="F5231" s="134"/>
      <c r="G5231" s="135" t="s">
        <v>389</v>
      </c>
      <c r="H5231" s="136"/>
      <c r="I5231" s="137">
        <f>I5230</f>
        <v>0</v>
      </c>
    </row>
    <row r="5232" spans="2:10" ht="15.95" customHeight="1" x14ac:dyDescent="0.25">
      <c r="C5232" s="158" t="s">
        <v>390</v>
      </c>
      <c r="D5232" s="159" t="s">
        <v>391</v>
      </c>
      <c r="E5232" s="160"/>
      <c r="F5232" s="160"/>
      <c r="G5232" s="161"/>
      <c r="H5232" s="162">
        <f>IF(AND(D5232&lt;&gt;"",F5232&lt;&gt;""),IF(C5232="",IF(F5232="OH",VLOOKUP(D5232,[1]UPAH!$B$3:$G$32,7,0),VLOOKUP(D5232,[1]BAHAN!$A$2:$D$3,4,0)),0),0)</f>
        <v>0</v>
      </c>
      <c r="I5232" s="126">
        <f>SUM(I5220:I5231)/2</f>
        <v>137542.32</v>
      </c>
    </row>
    <row r="5233" spans="2:10" ht="15.95" customHeight="1" thickBot="1" x14ac:dyDescent="0.3">
      <c r="C5233" s="147" t="s">
        <v>392</v>
      </c>
      <c r="D5233" s="148" t="s">
        <v>393</v>
      </c>
      <c r="E5233" s="149"/>
      <c r="F5233" s="149"/>
      <c r="G5233" s="164">
        <v>0.1</v>
      </c>
      <c r="H5233" s="151"/>
      <c r="I5233" s="146">
        <f>G5233*I5232</f>
        <v>13754.232000000002</v>
      </c>
    </row>
    <row r="5234" spans="2:10" ht="15.95" customHeight="1" thickBot="1" x14ac:dyDescent="0.3">
      <c r="C5234" s="111" t="s">
        <v>394</v>
      </c>
      <c r="D5234" s="112" t="s">
        <v>395</v>
      </c>
      <c r="E5234" s="134"/>
      <c r="F5234" s="134"/>
      <c r="G5234" s="156"/>
      <c r="H5234" s="136">
        <f>IF(AND(D5234&lt;&gt;"",F5234&lt;&gt;""),IF(C5234="",IF(F5234="OH",VLOOKUP(D5234,[1]UPAH!$B$3:$G$32,7,0),VLOOKUP(D5234,[1]BAHAN!$A$2:$D$3,4,0)),0),0)</f>
        <v>0</v>
      </c>
      <c r="I5234" s="137">
        <f>ROUNDDOWN(I5232+I5233,0)</f>
        <v>151296</v>
      </c>
    </row>
    <row r="5235" spans="2:10" ht="15.95" customHeight="1" x14ac:dyDescent="0.25">
      <c r="C5235" s="109"/>
      <c r="D5235" s="109"/>
      <c r="G5235" s="157"/>
    </row>
    <row r="5236" spans="2:10" ht="15.95" customHeight="1" thickBot="1" x14ac:dyDescent="0.3">
      <c r="B5236" s="109" t="s">
        <v>1211</v>
      </c>
      <c r="C5236" s="104" t="s">
        <v>1212</v>
      </c>
      <c r="G5236" s="157"/>
      <c r="J5236" s="110">
        <f>I5253</f>
        <v>144531</v>
      </c>
    </row>
    <row r="5237" spans="2:10" ht="15.95" customHeight="1" thickBot="1" x14ac:dyDescent="0.3">
      <c r="C5237" s="111" t="s">
        <v>328</v>
      </c>
      <c r="D5237" s="112" t="s">
        <v>359</v>
      </c>
      <c r="E5237" s="113" t="s">
        <v>360</v>
      </c>
      <c r="F5237" s="113" t="s">
        <v>330</v>
      </c>
      <c r="G5237" s="114" t="s">
        <v>361</v>
      </c>
      <c r="H5237" s="112" t="s">
        <v>362</v>
      </c>
      <c r="I5237" s="115" t="s">
        <v>363</v>
      </c>
    </row>
    <row r="5238" spans="2:10" ht="15.95" customHeight="1" x14ac:dyDescent="0.25">
      <c r="C5238" s="116" t="s">
        <v>364</v>
      </c>
      <c r="D5238" s="117" t="s">
        <v>365</v>
      </c>
      <c r="E5238" s="118"/>
      <c r="F5238" s="118"/>
      <c r="G5238" s="165"/>
      <c r="H5238" s="144"/>
      <c r="I5238" s="126"/>
    </row>
    <row r="5239" spans="2:10" ht="15.95" customHeight="1" x14ac:dyDescent="0.25">
      <c r="C5239" s="122"/>
      <c r="D5239" s="117" t="s">
        <v>366</v>
      </c>
      <c r="E5239" s="123" t="s">
        <v>367</v>
      </c>
      <c r="F5239" s="123" t="s">
        <v>368</v>
      </c>
      <c r="G5239" s="124">
        <v>0.4</v>
      </c>
      <c r="H5239" s="125">
        <f>VLOOKUP(D5239,Upah,8,FALSE)</f>
        <v>125000</v>
      </c>
      <c r="I5239" s="126">
        <f>G5239*H5239</f>
        <v>50000</v>
      </c>
    </row>
    <row r="5240" spans="2:10" ht="15.95" customHeight="1" x14ac:dyDescent="0.25">
      <c r="C5240" s="122"/>
      <c r="D5240" s="117" t="s">
        <v>369</v>
      </c>
      <c r="E5240" s="123" t="s">
        <v>370</v>
      </c>
      <c r="F5240" s="123" t="s">
        <v>368</v>
      </c>
      <c r="G5240" s="124">
        <v>0.2</v>
      </c>
      <c r="H5240" s="125">
        <f>VLOOKUP(D5240,Upah,8,FALSE)</f>
        <v>150000</v>
      </c>
      <c r="I5240" s="126">
        <f>G5240*H5240</f>
        <v>30000</v>
      </c>
    </row>
    <row r="5241" spans="2:10" ht="15.95" customHeight="1" x14ac:dyDescent="0.25">
      <c r="C5241" s="122"/>
      <c r="D5241" s="117" t="s">
        <v>429</v>
      </c>
      <c r="E5241" s="123" t="s">
        <v>372</v>
      </c>
      <c r="F5241" s="123" t="s">
        <v>368</v>
      </c>
      <c r="G5241" s="124">
        <v>0.02</v>
      </c>
      <c r="H5241" s="125">
        <f>VLOOKUP(D5241,Upah,8,FALSE)</f>
        <v>165000</v>
      </c>
      <c r="I5241" s="126">
        <f>G5241*H5241</f>
        <v>3300</v>
      </c>
    </row>
    <row r="5242" spans="2:10" ht="15.95" customHeight="1" thickBot="1" x14ac:dyDescent="0.3">
      <c r="C5242" s="122"/>
      <c r="D5242" s="117" t="s">
        <v>373</v>
      </c>
      <c r="E5242" s="123" t="s">
        <v>374</v>
      </c>
      <c r="F5242" s="123" t="s">
        <v>368</v>
      </c>
      <c r="G5242" s="124">
        <v>2E-3</v>
      </c>
      <c r="H5242" s="125">
        <f>VLOOKUP(D5242,Upah,8,FALSE)</f>
        <v>170000</v>
      </c>
      <c r="I5242" s="126">
        <f>G5242*H5242</f>
        <v>340</v>
      </c>
    </row>
    <row r="5243" spans="2:10" ht="15.95" customHeight="1" thickBot="1" x14ac:dyDescent="0.3">
      <c r="C5243" s="132"/>
      <c r="D5243" s="133"/>
      <c r="E5243" s="134"/>
      <c r="F5243" s="134"/>
      <c r="G5243" s="135" t="s">
        <v>375</v>
      </c>
      <c r="H5243" s="136"/>
      <c r="I5243" s="137">
        <f>SUM(I5239:I5242)</f>
        <v>83640</v>
      </c>
    </row>
    <row r="5244" spans="2:10" ht="15.95" customHeight="1" x14ac:dyDescent="0.25">
      <c r="C5244" s="116" t="s">
        <v>376</v>
      </c>
      <c r="D5244" s="117" t="s">
        <v>377</v>
      </c>
      <c r="E5244" s="118"/>
      <c r="F5244" s="118"/>
      <c r="G5244" s="165"/>
      <c r="H5244" s="144"/>
      <c r="I5244" s="126"/>
    </row>
    <row r="5245" spans="2:10" ht="15.95" customHeight="1" x14ac:dyDescent="0.25">
      <c r="C5245" s="122"/>
      <c r="D5245" s="117" t="s">
        <v>1208</v>
      </c>
      <c r="E5245" s="118"/>
      <c r="F5245" s="123" t="s">
        <v>418</v>
      </c>
      <c r="G5245" s="124">
        <v>4</v>
      </c>
      <c r="H5245" s="144">
        <f>VLOOKUP(D5245,Bahan,6,FALSE)</f>
        <v>6150</v>
      </c>
      <c r="I5245" s="126">
        <f>G5245*H5245</f>
        <v>24600</v>
      </c>
    </row>
    <row r="5246" spans="2:10" ht="15.95" customHeight="1" x14ac:dyDescent="0.25">
      <c r="C5246" s="122"/>
      <c r="D5246" s="117" t="s">
        <v>380</v>
      </c>
      <c r="E5246" s="118"/>
      <c r="F5246" s="123" t="s">
        <v>159</v>
      </c>
      <c r="G5246" s="124">
        <v>8</v>
      </c>
      <c r="H5246" s="144">
        <f>VLOOKUP(D5246,Bahan,6,FALSE)</f>
        <v>1880</v>
      </c>
      <c r="I5246" s="126">
        <f>G5246*H5246</f>
        <v>15040</v>
      </c>
    </row>
    <row r="5247" spans="2:10" ht="15.95" customHeight="1" thickBot="1" x14ac:dyDescent="0.3">
      <c r="C5247" s="122"/>
      <c r="D5247" s="117" t="s">
        <v>493</v>
      </c>
      <c r="E5247" s="118"/>
      <c r="F5247" s="123" t="s">
        <v>489</v>
      </c>
      <c r="G5247" s="124">
        <v>3.2000000000000001E-2</v>
      </c>
      <c r="H5247" s="144">
        <f>VLOOKUP(D5247,Bahan,6,FALSE)</f>
        <v>253510</v>
      </c>
      <c r="I5247" s="126">
        <f>G5247*H5247</f>
        <v>8112.3200000000006</v>
      </c>
    </row>
    <row r="5248" spans="2:10" ht="15.95" customHeight="1" thickBot="1" x14ac:dyDescent="0.3">
      <c r="C5248" s="132"/>
      <c r="D5248" s="133"/>
      <c r="E5248" s="134"/>
      <c r="F5248" s="134"/>
      <c r="G5248" s="135" t="s">
        <v>386</v>
      </c>
      <c r="H5248" s="136"/>
      <c r="I5248" s="137">
        <f>SUM(I5245:I5247)</f>
        <v>47752.32</v>
      </c>
    </row>
    <row r="5249" spans="2:10" ht="15.95" customHeight="1" thickBot="1" x14ac:dyDescent="0.3">
      <c r="C5249" s="116" t="s">
        <v>387</v>
      </c>
      <c r="D5249" s="117" t="s">
        <v>388</v>
      </c>
      <c r="E5249" s="118"/>
      <c r="F5249" s="118"/>
      <c r="G5249" s="165"/>
      <c r="H5249" s="144">
        <f>IF(AND(D5249&lt;&gt;"",F5249&lt;&gt;""),IF(C5249="",IF(F5249="OH",VLOOKUP(D5249,[1]UPAH!$B$3:$G$32,7,0),VLOOKUP(D5249,[1]BAHAN!$A$2:$D$3,4,0)),0),0)</f>
        <v>0</v>
      </c>
      <c r="I5249" s="126">
        <f>G5249*H5249</f>
        <v>0</v>
      </c>
    </row>
    <row r="5250" spans="2:10" ht="15.95" customHeight="1" thickBot="1" x14ac:dyDescent="0.3">
      <c r="C5250" s="132"/>
      <c r="D5250" s="133"/>
      <c r="E5250" s="134"/>
      <c r="F5250" s="134"/>
      <c r="G5250" s="135" t="s">
        <v>389</v>
      </c>
      <c r="H5250" s="136"/>
      <c r="I5250" s="137">
        <f>I5249</f>
        <v>0</v>
      </c>
    </row>
    <row r="5251" spans="2:10" ht="15.95" customHeight="1" x14ac:dyDescent="0.25">
      <c r="C5251" s="158" t="s">
        <v>390</v>
      </c>
      <c r="D5251" s="159" t="s">
        <v>391</v>
      </c>
      <c r="E5251" s="160"/>
      <c r="F5251" s="160"/>
      <c r="G5251" s="161"/>
      <c r="H5251" s="162">
        <f>IF(AND(D5251&lt;&gt;"",F5251&lt;&gt;""),IF(C5251="",IF(F5251="OH",VLOOKUP(D5251,[1]UPAH!$B$3:$G$32,7,0),VLOOKUP(D5251,[1]BAHAN!$A$2:$D$3,4,0)),0),0)</f>
        <v>0</v>
      </c>
      <c r="I5251" s="126">
        <f>SUM(I5239:I5250)/2</f>
        <v>131392.32000000001</v>
      </c>
    </row>
    <row r="5252" spans="2:10" ht="15.95" customHeight="1" thickBot="1" x14ac:dyDescent="0.3">
      <c r="C5252" s="147" t="s">
        <v>392</v>
      </c>
      <c r="D5252" s="148" t="s">
        <v>393</v>
      </c>
      <c r="E5252" s="149"/>
      <c r="F5252" s="149"/>
      <c r="G5252" s="164">
        <v>0.1</v>
      </c>
      <c r="H5252" s="151"/>
      <c r="I5252" s="146">
        <f>G5252*I5251</f>
        <v>13139.232000000002</v>
      </c>
    </row>
    <row r="5253" spans="2:10" ht="15.95" customHeight="1" thickBot="1" x14ac:dyDescent="0.3">
      <c r="C5253" s="111" t="s">
        <v>394</v>
      </c>
      <c r="D5253" s="112" t="s">
        <v>395</v>
      </c>
      <c r="E5253" s="134"/>
      <c r="F5253" s="134"/>
      <c r="G5253" s="156"/>
      <c r="H5253" s="136">
        <f>IF(AND(D5253&lt;&gt;"",F5253&lt;&gt;""),IF(C5253="",IF(F5253="OH",VLOOKUP(D5253,[1]UPAH!$B$3:$G$32,7,0),VLOOKUP(D5253,[1]BAHAN!$A$2:$D$3,4,0)),0),0)</f>
        <v>0</v>
      </c>
      <c r="I5253" s="137">
        <f>ROUNDDOWN(I5251+I5252,0)</f>
        <v>144531</v>
      </c>
    </row>
    <row r="5254" spans="2:10" ht="15.95" customHeight="1" x14ac:dyDescent="0.25">
      <c r="C5254" s="109"/>
      <c r="D5254" s="109"/>
      <c r="G5254" s="157"/>
    </row>
    <row r="5255" spans="2:10" ht="15.95" customHeight="1" thickBot="1" x14ac:dyDescent="0.3">
      <c r="B5255" s="109" t="s">
        <v>1213</v>
      </c>
      <c r="C5255" s="104" t="s">
        <v>1214</v>
      </c>
      <c r="G5255" s="157"/>
      <c r="J5255" s="110">
        <f>I5271</f>
        <v>129462</v>
      </c>
    </row>
    <row r="5256" spans="2:10" ht="15.95" customHeight="1" thickBot="1" x14ac:dyDescent="0.3">
      <c r="C5256" s="111" t="s">
        <v>328</v>
      </c>
      <c r="D5256" s="112" t="s">
        <v>359</v>
      </c>
      <c r="E5256" s="113" t="s">
        <v>360</v>
      </c>
      <c r="F5256" s="113" t="s">
        <v>330</v>
      </c>
      <c r="G5256" s="114" t="s">
        <v>361</v>
      </c>
      <c r="H5256" s="112" t="s">
        <v>362</v>
      </c>
      <c r="I5256" s="115" t="s">
        <v>363</v>
      </c>
    </row>
    <row r="5257" spans="2:10" ht="15.95" customHeight="1" x14ac:dyDescent="0.25">
      <c r="C5257" s="116" t="s">
        <v>364</v>
      </c>
      <c r="D5257" s="117" t="s">
        <v>365</v>
      </c>
      <c r="E5257" s="118"/>
      <c r="F5257" s="118"/>
      <c r="G5257" s="165"/>
      <c r="H5257" s="144"/>
      <c r="I5257" s="126"/>
    </row>
    <row r="5258" spans="2:10" ht="15.95" customHeight="1" x14ac:dyDescent="0.25">
      <c r="C5258" s="122"/>
      <c r="D5258" s="117" t="s">
        <v>366</v>
      </c>
      <c r="E5258" s="123" t="s">
        <v>367</v>
      </c>
      <c r="F5258" s="123" t="s">
        <v>368</v>
      </c>
      <c r="G5258" s="124">
        <v>0.14000000000000001</v>
      </c>
      <c r="H5258" s="125">
        <f>VLOOKUP(D5258,Upah,8,FALSE)</f>
        <v>125000</v>
      </c>
      <c r="I5258" s="126">
        <f>G5258*H5258</f>
        <v>17500</v>
      </c>
    </row>
    <row r="5259" spans="2:10" ht="15.95" customHeight="1" x14ac:dyDescent="0.25">
      <c r="C5259" s="122"/>
      <c r="D5259" s="117" t="s">
        <v>369</v>
      </c>
      <c r="E5259" s="123" t="s">
        <v>370</v>
      </c>
      <c r="F5259" s="123" t="s">
        <v>368</v>
      </c>
      <c r="G5259" s="124">
        <v>6.7000000000000004E-2</v>
      </c>
      <c r="H5259" s="125">
        <f>VLOOKUP(D5259,Upah,8,FALSE)</f>
        <v>150000</v>
      </c>
      <c r="I5259" s="126">
        <f>G5259*H5259</f>
        <v>10050</v>
      </c>
    </row>
    <row r="5260" spans="2:10" ht="15.95" customHeight="1" x14ac:dyDescent="0.25">
      <c r="C5260" s="122"/>
      <c r="D5260" s="117" t="s">
        <v>429</v>
      </c>
      <c r="E5260" s="123" t="s">
        <v>372</v>
      </c>
      <c r="F5260" s="123" t="s">
        <v>368</v>
      </c>
      <c r="G5260" s="124">
        <v>7.0000000000000001E-3</v>
      </c>
      <c r="H5260" s="125">
        <f>VLOOKUP(D5260,Upah,8,FALSE)</f>
        <v>165000</v>
      </c>
      <c r="I5260" s="126">
        <f>G5260*H5260</f>
        <v>1155</v>
      </c>
    </row>
    <row r="5261" spans="2:10" ht="15.95" customHeight="1" thickBot="1" x14ac:dyDescent="0.3">
      <c r="C5261" s="122"/>
      <c r="D5261" s="117" t="s">
        <v>373</v>
      </c>
      <c r="E5261" s="123" t="s">
        <v>374</v>
      </c>
      <c r="F5261" s="123" t="s">
        <v>368</v>
      </c>
      <c r="G5261" s="124">
        <v>7.0000000000000001E-3</v>
      </c>
      <c r="H5261" s="125">
        <f>VLOOKUP(D5261,Upah,8,FALSE)</f>
        <v>170000</v>
      </c>
      <c r="I5261" s="126">
        <f>G5261*H5261</f>
        <v>1190</v>
      </c>
    </row>
    <row r="5262" spans="2:10" ht="15.95" customHeight="1" thickBot="1" x14ac:dyDescent="0.3">
      <c r="C5262" s="132"/>
      <c r="D5262" s="133"/>
      <c r="E5262" s="134"/>
      <c r="F5262" s="134"/>
      <c r="G5262" s="135" t="s">
        <v>375</v>
      </c>
      <c r="H5262" s="136"/>
      <c r="I5262" s="137">
        <f>SUM(I5258:I5261)</f>
        <v>29895</v>
      </c>
    </row>
    <row r="5263" spans="2:10" ht="15.95" customHeight="1" x14ac:dyDescent="0.25">
      <c r="C5263" s="116" t="s">
        <v>376</v>
      </c>
      <c r="D5263" s="117" t="s">
        <v>377</v>
      </c>
      <c r="E5263" s="118"/>
      <c r="F5263" s="118"/>
      <c r="G5263" s="165"/>
      <c r="H5263" s="144"/>
      <c r="I5263" s="126"/>
    </row>
    <row r="5264" spans="2:10" ht="15.95" customHeight="1" x14ac:dyDescent="0.25">
      <c r="C5264" s="122"/>
      <c r="D5264" s="117" t="s">
        <v>1215</v>
      </c>
      <c r="E5264" s="118"/>
      <c r="F5264" s="123" t="s">
        <v>399</v>
      </c>
      <c r="G5264" s="124">
        <v>0.6</v>
      </c>
      <c r="H5264" s="144">
        <f>VLOOKUP(D5264,Bahan,6,FALSE)</f>
        <v>144000</v>
      </c>
      <c r="I5264" s="126">
        <f>G5264*H5264</f>
        <v>86400</v>
      </c>
    </row>
    <row r="5265" spans="2:10" ht="15.95" customHeight="1" thickBot="1" x14ac:dyDescent="0.3">
      <c r="C5265" s="122"/>
      <c r="D5265" s="117" t="s">
        <v>383</v>
      </c>
      <c r="E5265" s="118"/>
      <c r="F5265" s="123" t="s">
        <v>159</v>
      </c>
      <c r="G5265" s="124">
        <v>0.05</v>
      </c>
      <c r="H5265" s="144">
        <f>VLOOKUP(D5265,Bahan,6,FALSE)</f>
        <v>27970</v>
      </c>
      <c r="I5265" s="126">
        <f>G5265*H5265</f>
        <v>1398.5</v>
      </c>
    </row>
    <row r="5266" spans="2:10" ht="15.95" customHeight="1" thickBot="1" x14ac:dyDescent="0.3">
      <c r="C5266" s="132"/>
      <c r="D5266" s="133"/>
      <c r="E5266" s="134"/>
      <c r="F5266" s="134"/>
      <c r="G5266" s="135" t="s">
        <v>386</v>
      </c>
      <c r="H5266" s="136"/>
      <c r="I5266" s="137">
        <f>SUM(I5264:I5265)</f>
        <v>87798.5</v>
      </c>
    </row>
    <row r="5267" spans="2:10" ht="15.95" customHeight="1" thickBot="1" x14ac:dyDescent="0.3">
      <c r="C5267" s="116" t="s">
        <v>387</v>
      </c>
      <c r="D5267" s="117" t="s">
        <v>388</v>
      </c>
      <c r="E5267" s="118"/>
      <c r="F5267" s="118"/>
      <c r="G5267" s="165"/>
      <c r="H5267" s="144">
        <f>IF(AND(D5267&lt;&gt;"",F5267&lt;&gt;""),IF(C5267="",IF(F5267="OH",VLOOKUP(D5267,[1]UPAH!$B$3:$G$32,7,0),VLOOKUP(D5267,[1]BAHAN!$A$2:$D$3,4,0)),0),0)</f>
        <v>0</v>
      </c>
      <c r="I5267" s="126">
        <f>G5267*H5267</f>
        <v>0</v>
      </c>
    </row>
    <row r="5268" spans="2:10" ht="15.95" customHeight="1" thickBot="1" x14ac:dyDescent="0.3">
      <c r="C5268" s="132"/>
      <c r="D5268" s="133"/>
      <c r="E5268" s="134"/>
      <c r="F5268" s="134"/>
      <c r="G5268" s="135" t="s">
        <v>389</v>
      </c>
      <c r="H5268" s="136"/>
      <c r="I5268" s="137">
        <f>I5267</f>
        <v>0</v>
      </c>
    </row>
    <row r="5269" spans="2:10" ht="15.95" customHeight="1" x14ac:dyDescent="0.25">
      <c r="C5269" s="158" t="s">
        <v>390</v>
      </c>
      <c r="D5269" s="159" t="s">
        <v>391</v>
      </c>
      <c r="E5269" s="160"/>
      <c r="F5269" s="160"/>
      <c r="G5269" s="161"/>
      <c r="H5269" s="162">
        <f>IF(AND(D5269&lt;&gt;"",F5269&lt;&gt;""),IF(C5269="",IF(F5269="OH",VLOOKUP(D5269,[1]UPAH!$B$3:$G$32,7,0),VLOOKUP(D5269,[1]BAHAN!$A$2:$D$3,4,0)),0),0)</f>
        <v>0</v>
      </c>
      <c r="I5269" s="126">
        <f>SUM(I5258:I5268)/2</f>
        <v>117693.5</v>
      </c>
    </row>
    <row r="5270" spans="2:10" ht="15.95" customHeight="1" thickBot="1" x14ac:dyDescent="0.3">
      <c r="C5270" s="147" t="s">
        <v>392</v>
      </c>
      <c r="D5270" s="148" t="s">
        <v>393</v>
      </c>
      <c r="E5270" s="149"/>
      <c r="F5270" s="149"/>
      <c r="G5270" s="164">
        <v>0.1</v>
      </c>
      <c r="H5270" s="151"/>
      <c r="I5270" s="146">
        <f>G5270*I5269</f>
        <v>11769.35</v>
      </c>
    </row>
    <row r="5271" spans="2:10" ht="15.95" customHeight="1" thickBot="1" x14ac:dyDescent="0.3">
      <c r="C5271" s="111" t="s">
        <v>394</v>
      </c>
      <c r="D5271" s="112" t="s">
        <v>395</v>
      </c>
      <c r="E5271" s="134"/>
      <c r="F5271" s="134"/>
      <c r="G5271" s="156"/>
      <c r="H5271" s="136">
        <f>IF(AND(D5271&lt;&gt;"",F5271&lt;&gt;""),IF(C5271="",IF(F5271="OH",VLOOKUP(D5271,[1]UPAH!$B$3:$G$32,7,0),VLOOKUP(D5271,[1]BAHAN!$A$2:$D$3,4,0)),0),0)</f>
        <v>0</v>
      </c>
      <c r="I5271" s="137">
        <f>ROUNDDOWN(I5269+I5270,0)</f>
        <v>129462</v>
      </c>
    </row>
    <row r="5272" spans="2:10" ht="15.95" customHeight="1" x14ac:dyDescent="0.25">
      <c r="C5272" s="109"/>
      <c r="D5272" s="109"/>
      <c r="G5272" s="157"/>
    </row>
    <row r="5273" spans="2:10" ht="15.95" customHeight="1" thickBot="1" x14ac:dyDescent="0.3">
      <c r="B5273" s="109" t="s">
        <v>1216</v>
      </c>
      <c r="C5273" s="104" t="s">
        <v>1217</v>
      </c>
      <c r="G5273" s="157"/>
      <c r="J5273" s="110">
        <f>I5289</f>
        <v>108906</v>
      </c>
    </row>
    <row r="5274" spans="2:10" ht="15.95" customHeight="1" thickBot="1" x14ac:dyDescent="0.3">
      <c r="C5274" s="111" t="s">
        <v>328</v>
      </c>
      <c r="D5274" s="112" t="s">
        <v>359</v>
      </c>
      <c r="E5274" s="113" t="s">
        <v>360</v>
      </c>
      <c r="F5274" s="113" t="s">
        <v>330</v>
      </c>
      <c r="G5274" s="114" t="s">
        <v>361</v>
      </c>
      <c r="H5274" s="112" t="s">
        <v>362</v>
      </c>
      <c r="I5274" s="115" t="s">
        <v>363</v>
      </c>
    </row>
    <row r="5275" spans="2:10" ht="15.95" customHeight="1" x14ac:dyDescent="0.25">
      <c r="C5275" s="116" t="s">
        <v>364</v>
      </c>
      <c r="D5275" s="117" t="s">
        <v>365</v>
      </c>
      <c r="E5275" s="118"/>
      <c r="F5275" s="118"/>
      <c r="G5275" s="165"/>
      <c r="H5275" s="144"/>
      <c r="I5275" s="126"/>
    </row>
    <row r="5276" spans="2:10" ht="15.95" customHeight="1" x14ac:dyDescent="0.25">
      <c r="C5276" s="122"/>
      <c r="D5276" s="117" t="s">
        <v>366</v>
      </c>
      <c r="E5276" s="123" t="s">
        <v>367</v>
      </c>
      <c r="F5276" s="123" t="s">
        <v>368</v>
      </c>
      <c r="G5276" s="124">
        <v>0.14000000000000001</v>
      </c>
      <c r="H5276" s="125">
        <f>VLOOKUP(D5276,Upah,8,FALSE)</f>
        <v>125000</v>
      </c>
      <c r="I5276" s="126">
        <f>G5276*H5276</f>
        <v>17500</v>
      </c>
    </row>
    <row r="5277" spans="2:10" ht="15.95" customHeight="1" x14ac:dyDescent="0.25">
      <c r="C5277" s="122"/>
      <c r="D5277" s="117" t="s">
        <v>369</v>
      </c>
      <c r="E5277" s="123" t="s">
        <v>370</v>
      </c>
      <c r="F5277" s="123" t="s">
        <v>368</v>
      </c>
      <c r="G5277" s="124">
        <v>7.4999999999999997E-2</v>
      </c>
      <c r="H5277" s="125">
        <f>VLOOKUP(D5277,Upah,8,FALSE)</f>
        <v>150000</v>
      </c>
      <c r="I5277" s="126">
        <f>G5277*H5277</f>
        <v>11250</v>
      </c>
    </row>
    <row r="5278" spans="2:10" ht="15.95" customHeight="1" x14ac:dyDescent="0.25">
      <c r="C5278" s="122"/>
      <c r="D5278" s="117" t="s">
        <v>429</v>
      </c>
      <c r="E5278" s="123" t="s">
        <v>372</v>
      </c>
      <c r="F5278" s="123" t="s">
        <v>368</v>
      </c>
      <c r="G5278" s="124">
        <v>8.0000000000000002E-3</v>
      </c>
      <c r="H5278" s="125">
        <f>VLOOKUP(D5278,Upah,8,FALSE)</f>
        <v>165000</v>
      </c>
      <c r="I5278" s="126">
        <f>G5278*H5278</f>
        <v>1320</v>
      </c>
    </row>
    <row r="5279" spans="2:10" ht="15.95" customHeight="1" thickBot="1" x14ac:dyDescent="0.3">
      <c r="C5279" s="122"/>
      <c r="D5279" s="117" t="s">
        <v>373</v>
      </c>
      <c r="E5279" s="123" t="s">
        <v>374</v>
      </c>
      <c r="F5279" s="123" t="s">
        <v>368</v>
      </c>
      <c r="G5279" s="124">
        <v>8.0000000000000002E-3</v>
      </c>
      <c r="H5279" s="125">
        <f>VLOOKUP(D5279,Upah,8,FALSE)</f>
        <v>170000</v>
      </c>
      <c r="I5279" s="126">
        <f>G5279*H5279</f>
        <v>1360</v>
      </c>
    </row>
    <row r="5280" spans="2:10" ht="15.95" customHeight="1" thickBot="1" x14ac:dyDescent="0.3">
      <c r="C5280" s="132"/>
      <c r="D5280" s="133"/>
      <c r="E5280" s="134"/>
      <c r="F5280" s="134"/>
      <c r="G5280" s="135" t="s">
        <v>375</v>
      </c>
      <c r="H5280" s="136"/>
      <c r="I5280" s="137">
        <f>SUM(I5276:I5279)</f>
        <v>31430</v>
      </c>
    </row>
    <row r="5281" spans="2:10" ht="15.95" customHeight="1" x14ac:dyDescent="0.25">
      <c r="C5281" s="116" t="s">
        <v>376</v>
      </c>
      <c r="D5281" s="117" t="s">
        <v>377</v>
      </c>
      <c r="E5281" s="118"/>
      <c r="F5281" s="118"/>
      <c r="G5281" s="165"/>
      <c r="H5281" s="144"/>
      <c r="I5281" s="126"/>
    </row>
    <row r="5282" spans="2:10" ht="15.95" customHeight="1" x14ac:dyDescent="0.25">
      <c r="C5282" s="122"/>
      <c r="D5282" s="117" t="s">
        <v>1218</v>
      </c>
      <c r="E5282" s="118"/>
      <c r="F5282" s="123" t="s">
        <v>399</v>
      </c>
      <c r="G5282" s="124">
        <v>0.5</v>
      </c>
      <c r="H5282" s="144">
        <f>VLOOKUP(D5282,Bahan,6,FALSE)</f>
        <v>131610</v>
      </c>
      <c r="I5282" s="126">
        <f>G5282*H5282</f>
        <v>65805</v>
      </c>
    </row>
    <row r="5283" spans="2:10" ht="15.95" customHeight="1" thickBot="1" x14ac:dyDescent="0.3">
      <c r="C5283" s="122"/>
      <c r="D5283" s="117" t="s">
        <v>1219</v>
      </c>
      <c r="E5283" s="118"/>
      <c r="F5283" s="123" t="s">
        <v>159</v>
      </c>
      <c r="G5283" s="124">
        <v>0.12</v>
      </c>
      <c r="H5283" s="144">
        <f>VLOOKUP(D5283,Bahan,6,FALSE)</f>
        <v>14760</v>
      </c>
      <c r="I5283" s="126">
        <f>G5283*H5283</f>
        <v>1771.2</v>
      </c>
    </row>
    <row r="5284" spans="2:10" ht="15.95" customHeight="1" thickBot="1" x14ac:dyDescent="0.3">
      <c r="C5284" s="132"/>
      <c r="D5284" s="133"/>
      <c r="E5284" s="134"/>
      <c r="F5284" s="134"/>
      <c r="G5284" s="135" t="s">
        <v>386</v>
      </c>
      <c r="H5284" s="136"/>
      <c r="I5284" s="137">
        <f>SUM(I5282:I5283)</f>
        <v>67576.2</v>
      </c>
    </row>
    <row r="5285" spans="2:10" ht="15.95" customHeight="1" thickBot="1" x14ac:dyDescent="0.3">
      <c r="C5285" s="116" t="s">
        <v>387</v>
      </c>
      <c r="D5285" s="117" t="s">
        <v>388</v>
      </c>
      <c r="E5285" s="118"/>
      <c r="F5285" s="118"/>
      <c r="G5285" s="165"/>
      <c r="H5285" s="144">
        <f>IF(AND(D5285&lt;&gt;"",F5285&lt;&gt;""),IF(C5285="",IF(F5285="OH",VLOOKUP(D5285,[1]UPAH!$B$3:$G$32,7,0),VLOOKUP(D5285,[1]BAHAN!$A$2:$D$3,4,0)),0),0)</f>
        <v>0</v>
      </c>
      <c r="I5285" s="126">
        <f>G5285*H5285</f>
        <v>0</v>
      </c>
    </row>
    <row r="5286" spans="2:10" ht="15.95" customHeight="1" thickBot="1" x14ac:dyDescent="0.3">
      <c r="C5286" s="132"/>
      <c r="D5286" s="133"/>
      <c r="E5286" s="134"/>
      <c r="F5286" s="134"/>
      <c r="G5286" s="135" t="s">
        <v>389</v>
      </c>
      <c r="H5286" s="136"/>
      <c r="I5286" s="137">
        <f>I5285</f>
        <v>0</v>
      </c>
    </row>
    <row r="5287" spans="2:10" ht="15.95" customHeight="1" x14ac:dyDescent="0.25">
      <c r="C5287" s="158" t="s">
        <v>390</v>
      </c>
      <c r="D5287" s="159" t="s">
        <v>391</v>
      </c>
      <c r="E5287" s="160"/>
      <c r="F5287" s="160"/>
      <c r="G5287" s="161"/>
      <c r="H5287" s="162">
        <f>IF(AND(D5287&lt;&gt;"",F5287&lt;&gt;""),IF(C5287="",IF(F5287="OH",VLOOKUP(D5287,[1]UPAH!$B$3:$G$32,7,0),VLOOKUP(D5287,[1]BAHAN!$A$2:$D$3,4,0)),0),0)</f>
        <v>0</v>
      </c>
      <c r="I5287" s="126">
        <f>SUM(I5276:I5286)/2</f>
        <v>99006.2</v>
      </c>
    </row>
    <row r="5288" spans="2:10" ht="15.95" customHeight="1" thickBot="1" x14ac:dyDescent="0.3">
      <c r="C5288" s="147" t="s">
        <v>392</v>
      </c>
      <c r="D5288" s="148" t="s">
        <v>393</v>
      </c>
      <c r="E5288" s="149"/>
      <c r="F5288" s="149"/>
      <c r="G5288" s="164">
        <v>0.1</v>
      </c>
      <c r="H5288" s="151"/>
      <c r="I5288" s="146">
        <f>G5288*I5287</f>
        <v>9900.6200000000008</v>
      </c>
    </row>
    <row r="5289" spans="2:10" ht="15.95" customHeight="1" thickBot="1" x14ac:dyDescent="0.3">
      <c r="C5289" s="111" t="s">
        <v>394</v>
      </c>
      <c r="D5289" s="112" t="s">
        <v>395</v>
      </c>
      <c r="E5289" s="134"/>
      <c r="F5289" s="134"/>
      <c r="G5289" s="156"/>
      <c r="H5289" s="136">
        <f>IF(AND(D5289&lt;&gt;"",F5289&lt;&gt;""),IF(C5289="",IF(F5289="OH",VLOOKUP(D5289,[1]UPAH!$B$3:$G$32,7,0),VLOOKUP(D5289,[1]BAHAN!$A$2:$D$3,4,0)),0),0)</f>
        <v>0</v>
      </c>
      <c r="I5289" s="137">
        <f>ROUNDDOWN(I5287+I5288,0)</f>
        <v>108906</v>
      </c>
    </row>
    <row r="5290" spans="2:10" ht="15.95" customHeight="1" x14ac:dyDescent="0.25">
      <c r="C5290" s="109"/>
      <c r="D5290" s="109"/>
      <c r="G5290" s="157"/>
    </row>
    <row r="5291" spans="2:10" ht="15.95" customHeight="1" thickBot="1" x14ac:dyDescent="0.3">
      <c r="B5291" s="109" t="s">
        <v>1220</v>
      </c>
      <c r="C5291" s="104" t="s">
        <v>1221</v>
      </c>
      <c r="G5291" s="157"/>
      <c r="J5291" s="110">
        <f>I5307</f>
        <v>123383</v>
      </c>
    </row>
    <row r="5292" spans="2:10" ht="15.95" customHeight="1" thickBot="1" x14ac:dyDescent="0.3">
      <c r="C5292" s="111" t="s">
        <v>328</v>
      </c>
      <c r="D5292" s="112" t="s">
        <v>359</v>
      </c>
      <c r="E5292" s="113" t="s">
        <v>360</v>
      </c>
      <c r="F5292" s="113" t="s">
        <v>330</v>
      </c>
      <c r="G5292" s="114" t="s">
        <v>361</v>
      </c>
      <c r="H5292" s="112" t="s">
        <v>362</v>
      </c>
      <c r="I5292" s="115" t="s">
        <v>363</v>
      </c>
    </row>
    <row r="5293" spans="2:10" ht="15.95" customHeight="1" x14ac:dyDescent="0.25">
      <c r="C5293" s="116" t="s">
        <v>364</v>
      </c>
      <c r="D5293" s="117" t="s">
        <v>365</v>
      </c>
      <c r="E5293" s="118"/>
      <c r="F5293" s="118"/>
      <c r="G5293" s="165"/>
      <c r="H5293" s="144"/>
      <c r="I5293" s="126"/>
    </row>
    <row r="5294" spans="2:10" ht="15.95" customHeight="1" x14ac:dyDescent="0.25">
      <c r="C5294" s="122"/>
      <c r="D5294" s="117" t="s">
        <v>366</v>
      </c>
      <c r="E5294" s="123" t="s">
        <v>367</v>
      </c>
      <c r="F5294" s="123" t="s">
        <v>368</v>
      </c>
      <c r="G5294" s="124">
        <v>0.14000000000000001</v>
      </c>
      <c r="H5294" s="125">
        <f>VLOOKUP(D5294,Upah,8,FALSE)</f>
        <v>125000</v>
      </c>
      <c r="I5294" s="126">
        <f>G5294*H5294</f>
        <v>17500</v>
      </c>
    </row>
    <row r="5295" spans="2:10" ht="15.95" customHeight="1" x14ac:dyDescent="0.25">
      <c r="C5295" s="122"/>
      <c r="D5295" s="117" t="s">
        <v>369</v>
      </c>
      <c r="E5295" s="123" t="s">
        <v>370</v>
      </c>
      <c r="F5295" s="123" t="s">
        <v>368</v>
      </c>
      <c r="G5295" s="124">
        <v>7.4999999999999997E-2</v>
      </c>
      <c r="H5295" s="125">
        <f>VLOOKUP(D5295,Upah,8,FALSE)</f>
        <v>150000</v>
      </c>
      <c r="I5295" s="126">
        <f>G5295*H5295</f>
        <v>11250</v>
      </c>
    </row>
    <row r="5296" spans="2:10" ht="15.95" customHeight="1" x14ac:dyDescent="0.25">
      <c r="C5296" s="122"/>
      <c r="D5296" s="117" t="s">
        <v>429</v>
      </c>
      <c r="E5296" s="123" t="s">
        <v>372</v>
      </c>
      <c r="F5296" s="123" t="s">
        <v>368</v>
      </c>
      <c r="G5296" s="124">
        <v>8.0000000000000002E-3</v>
      </c>
      <c r="H5296" s="125">
        <f>VLOOKUP(D5296,Upah,8,FALSE)</f>
        <v>165000</v>
      </c>
      <c r="I5296" s="126">
        <f>G5296*H5296</f>
        <v>1320</v>
      </c>
    </row>
    <row r="5297" spans="2:10" ht="15.95" customHeight="1" thickBot="1" x14ac:dyDescent="0.3">
      <c r="C5297" s="122"/>
      <c r="D5297" s="117" t="s">
        <v>373</v>
      </c>
      <c r="E5297" s="123" t="s">
        <v>374</v>
      </c>
      <c r="F5297" s="123" t="s">
        <v>368</v>
      </c>
      <c r="G5297" s="124">
        <v>8.0000000000000002E-3</v>
      </c>
      <c r="H5297" s="125">
        <f>VLOOKUP(D5297,Upah,8,FALSE)</f>
        <v>170000</v>
      </c>
      <c r="I5297" s="126">
        <f>G5297*H5297</f>
        <v>1360</v>
      </c>
    </row>
    <row r="5298" spans="2:10" ht="15.95" customHeight="1" thickBot="1" x14ac:dyDescent="0.3">
      <c r="C5298" s="132"/>
      <c r="D5298" s="133"/>
      <c r="E5298" s="134"/>
      <c r="F5298" s="134"/>
      <c r="G5298" s="135" t="s">
        <v>375</v>
      </c>
      <c r="H5298" s="136"/>
      <c r="I5298" s="137">
        <f>SUM(I5294:I5297)</f>
        <v>31430</v>
      </c>
    </row>
    <row r="5299" spans="2:10" ht="15.95" customHeight="1" x14ac:dyDescent="0.25">
      <c r="C5299" s="116" t="s">
        <v>376</v>
      </c>
      <c r="D5299" s="117" t="s">
        <v>377</v>
      </c>
      <c r="E5299" s="118"/>
      <c r="F5299" s="118"/>
      <c r="G5299" s="165"/>
      <c r="H5299" s="144"/>
      <c r="I5299" s="126"/>
    </row>
    <row r="5300" spans="2:10" ht="15.95" customHeight="1" x14ac:dyDescent="0.25">
      <c r="C5300" s="122"/>
      <c r="D5300" s="117" t="s">
        <v>1218</v>
      </c>
      <c r="E5300" s="118"/>
      <c r="F5300" s="123" t="s">
        <v>399</v>
      </c>
      <c r="G5300" s="124">
        <v>0.6</v>
      </c>
      <c r="H5300" s="144">
        <f>VLOOKUP(D5300,Bahan,6,FALSE)</f>
        <v>131610</v>
      </c>
      <c r="I5300" s="126">
        <f>G5300*H5300</f>
        <v>78966</v>
      </c>
    </row>
    <row r="5301" spans="2:10" ht="15.95" customHeight="1" thickBot="1" x14ac:dyDescent="0.3">
      <c r="C5301" s="122"/>
      <c r="D5301" s="117" t="s">
        <v>1219</v>
      </c>
      <c r="E5301" s="118"/>
      <c r="F5301" s="123" t="s">
        <v>159</v>
      </c>
      <c r="G5301" s="124">
        <v>0.12</v>
      </c>
      <c r="H5301" s="144">
        <f>VLOOKUP(D5301,Bahan,6,FALSE)</f>
        <v>14760</v>
      </c>
      <c r="I5301" s="126">
        <f>G5301*H5301</f>
        <v>1771.2</v>
      </c>
    </row>
    <row r="5302" spans="2:10" ht="15.95" customHeight="1" thickBot="1" x14ac:dyDescent="0.3">
      <c r="C5302" s="132"/>
      <c r="D5302" s="133"/>
      <c r="E5302" s="134"/>
      <c r="F5302" s="134"/>
      <c r="G5302" s="135" t="s">
        <v>386</v>
      </c>
      <c r="H5302" s="136"/>
      <c r="I5302" s="137">
        <f>SUM(I5300:I5301)</f>
        <v>80737.2</v>
      </c>
    </row>
    <row r="5303" spans="2:10" ht="15.95" customHeight="1" thickBot="1" x14ac:dyDescent="0.3">
      <c r="C5303" s="116" t="s">
        <v>387</v>
      </c>
      <c r="D5303" s="117" t="s">
        <v>388</v>
      </c>
      <c r="E5303" s="118"/>
      <c r="F5303" s="118"/>
      <c r="G5303" s="165"/>
      <c r="H5303" s="144">
        <f>IF(AND(D5303&lt;&gt;"",F5303&lt;&gt;""),IF(C5303="",IF(F5303="OH",VLOOKUP(D5303,[1]UPAH!$B$3:$G$32,7,0),VLOOKUP(D5303,[1]BAHAN!$A$2:$D$3,4,0)),0),0)</f>
        <v>0</v>
      </c>
      <c r="I5303" s="126">
        <f>G5303*H5303</f>
        <v>0</v>
      </c>
    </row>
    <row r="5304" spans="2:10" ht="15.95" customHeight="1" thickBot="1" x14ac:dyDescent="0.3">
      <c r="C5304" s="132"/>
      <c r="D5304" s="133"/>
      <c r="E5304" s="134"/>
      <c r="F5304" s="134"/>
      <c r="G5304" s="135" t="s">
        <v>389</v>
      </c>
      <c r="H5304" s="136"/>
      <c r="I5304" s="137">
        <f>I5303</f>
        <v>0</v>
      </c>
    </row>
    <row r="5305" spans="2:10" ht="15.95" customHeight="1" x14ac:dyDescent="0.25">
      <c r="C5305" s="158" t="s">
        <v>390</v>
      </c>
      <c r="D5305" s="159" t="s">
        <v>391</v>
      </c>
      <c r="E5305" s="160"/>
      <c r="F5305" s="160"/>
      <c r="G5305" s="161"/>
      <c r="H5305" s="162">
        <f>IF(AND(D5305&lt;&gt;"",F5305&lt;&gt;""),IF(C5305="",IF(F5305="OH",VLOOKUP(D5305,[1]UPAH!$B$3:$G$32,7,0),VLOOKUP(D5305,[1]BAHAN!$A$2:$D$3,4,0)),0),0)</f>
        <v>0</v>
      </c>
      <c r="I5305" s="126">
        <f>SUM(I5294:I5304)/2</f>
        <v>112167.20000000001</v>
      </c>
    </row>
    <row r="5306" spans="2:10" ht="15.95" customHeight="1" thickBot="1" x14ac:dyDescent="0.3">
      <c r="C5306" s="147" t="s">
        <v>392</v>
      </c>
      <c r="D5306" s="148" t="s">
        <v>393</v>
      </c>
      <c r="E5306" s="149"/>
      <c r="F5306" s="149"/>
      <c r="G5306" s="164">
        <v>0.1</v>
      </c>
      <c r="H5306" s="151"/>
      <c r="I5306" s="146">
        <f>G5306*I5305</f>
        <v>11216.720000000001</v>
      </c>
    </row>
    <row r="5307" spans="2:10" ht="15.95" customHeight="1" thickBot="1" x14ac:dyDescent="0.3">
      <c r="C5307" s="111" t="s">
        <v>394</v>
      </c>
      <c r="D5307" s="112" t="s">
        <v>395</v>
      </c>
      <c r="E5307" s="134"/>
      <c r="F5307" s="134"/>
      <c r="G5307" s="156"/>
      <c r="H5307" s="136">
        <f>IF(AND(D5307&lt;&gt;"",F5307&lt;&gt;""),IF(C5307="",IF(F5307="OH",VLOOKUP(D5307,[1]UPAH!$B$3:$G$32,7,0),VLOOKUP(D5307,[1]BAHAN!$A$2:$D$3,4,0)),0),0)</f>
        <v>0</v>
      </c>
      <c r="I5307" s="137">
        <f>ROUNDDOWN(I5305+I5306,0)</f>
        <v>123383</v>
      </c>
    </row>
    <row r="5308" spans="2:10" ht="15.95" customHeight="1" x14ac:dyDescent="0.25">
      <c r="C5308" s="109"/>
      <c r="D5308" s="109"/>
      <c r="G5308" s="157"/>
    </row>
    <row r="5309" spans="2:10" ht="15.95" customHeight="1" thickBot="1" x14ac:dyDescent="0.3">
      <c r="B5309" s="109" t="s">
        <v>1222</v>
      </c>
      <c r="C5309" s="104" t="s">
        <v>1223</v>
      </c>
      <c r="G5309" s="157"/>
      <c r="J5309" s="110">
        <f>I5325</f>
        <v>122190</v>
      </c>
    </row>
    <row r="5310" spans="2:10" ht="15.95" customHeight="1" thickBot="1" x14ac:dyDescent="0.3">
      <c r="C5310" s="111" t="s">
        <v>328</v>
      </c>
      <c r="D5310" s="112" t="s">
        <v>359</v>
      </c>
      <c r="E5310" s="113" t="s">
        <v>360</v>
      </c>
      <c r="F5310" s="113" t="s">
        <v>330</v>
      </c>
      <c r="G5310" s="114" t="s">
        <v>361</v>
      </c>
      <c r="H5310" s="112" t="s">
        <v>362</v>
      </c>
      <c r="I5310" s="115" t="s">
        <v>363</v>
      </c>
    </row>
    <row r="5311" spans="2:10" ht="15.95" customHeight="1" x14ac:dyDescent="0.25">
      <c r="C5311" s="116" t="s">
        <v>364</v>
      </c>
      <c r="D5311" s="117" t="s">
        <v>365</v>
      </c>
      <c r="E5311" s="118"/>
      <c r="F5311" s="118"/>
      <c r="G5311" s="165"/>
      <c r="H5311" s="144"/>
      <c r="I5311" s="126"/>
    </row>
    <row r="5312" spans="2:10" ht="15.95" customHeight="1" x14ac:dyDescent="0.25">
      <c r="C5312" s="122"/>
      <c r="D5312" s="117" t="s">
        <v>366</v>
      </c>
      <c r="E5312" s="123" t="s">
        <v>367</v>
      </c>
      <c r="F5312" s="123" t="s">
        <v>368</v>
      </c>
      <c r="G5312" s="124">
        <v>0.14000000000000001</v>
      </c>
      <c r="H5312" s="125">
        <f>VLOOKUP(D5312,Upah,8,FALSE)</f>
        <v>125000</v>
      </c>
      <c r="I5312" s="126">
        <f>G5312*H5312</f>
        <v>17500</v>
      </c>
    </row>
    <row r="5313" spans="2:10" ht="15.95" customHeight="1" x14ac:dyDescent="0.25">
      <c r="C5313" s="122"/>
      <c r="D5313" s="117" t="s">
        <v>369</v>
      </c>
      <c r="E5313" s="123" t="s">
        <v>370</v>
      </c>
      <c r="F5313" s="123" t="s">
        <v>368</v>
      </c>
      <c r="G5313" s="124">
        <v>7.0000000000000007E-2</v>
      </c>
      <c r="H5313" s="125">
        <f>VLOOKUP(D5313,Upah,8,FALSE)</f>
        <v>150000</v>
      </c>
      <c r="I5313" s="126">
        <f>G5313*H5313</f>
        <v>10500.000000000002</v>
      </c>
    </row>
    <row r="5314" spans="2:10" ht="15.95" customHeight="1" x14ac:dyDescent="0.25">
      <c r="C5314" s="122"/>
      <c r="D5314" s="117" t="s">
        <v>429</v>
      </c>
      <c r="E5314" s="123" t="s">
        <v>372</v>
      </c>
      <c r="F5314" s="123" t="s">
        <v>368</v>
      </c>
      <c r="G5314" s="124">
        <v>7.0000000000000001E-3</v>
      </c>
      <c r="H5314" s="125">
        <f>VLOOKUP(D5314,Upah,8,FALSE)</f>
        <v>165000</v>
      </c>
      <c r="I5314" s="126">
        <f>G5314*H5314</f>
        <v>1155</v>
      </c>
    </row>
    <row r="5315" spans="2:10" ht="15.95" customHeight="1" thickBot="1" x14ac:dyDescent="0.3">
      <c r="C5315" s="122"/>
      <c r="D5315" s="117" t="s">
        <v>373</v>
      </c>
      <c r="E5315" s="123" t="s">
        <v>374</v>
      </c>
      <c r="F5315" s="123" t="s">
        <v>368</v>
      </c>
      <c r="G5315" s="124">
        <v>7.0000000000000001E-3</v>
      </c>
      <c r="H5315" s="125">
        <f>VLOOKUP(D5315,Upah,8,FALSE)</f>
        <v>170000</v>
      </c>
      <c r="I5315" s="126">
        <f>G5315*H5315</f>
        <v>1190</v>
      </c>
    </row>
    <row r="5316" spans="2:10" ht="15.95" customHeight="1" thickBot="1" x14ac:dyDescent="0.3">
      <c r="C5316" s="132"/>
      <c r="D5316" s="133"/>
      <c r="E5316" s="134"/>
      <c r="F5316" s="134"/>
      <c r="G5316" s="135" t="s">
        <v>375</v>
      </c>
      <c r="H5316" s="136"/>
      <c r="I5316" s="137">
        <f>SUM(I5312:I5315)</f>
        <v>30345</v>
      </c>
    </row>
    <row r="5317" spans="2:10" ht="15.95" customHeight="1" x14ac:dyDescent="0.25">
      <c r="C5317" s="116" t="s">
        <v>376</v>
      </c>
      <c r="D5317" s="117" t="s">
        <v>377</v>
      </c>
      <c r="E5317" s="118"/>
      <c r="F5317" s="118"/>
      <c r="G5317" s="165"/>
      <c r="H5317" s="144"/>
      <c r="I5317" s="126"/>
    </row>
    <row r="5318" spans="2:10" ht="15.95" customHeight="1" x14ac:dyDescent="0.25">
      <c r="C5318" s="122"/>
      <c r="D5318" s="117" t="s">
        <v>1218</v>
      </c>
      <c r="E5318" s="118"/>
      <c r="F5318" s="123" t="s">
        <v>399</v>
      </c>
      <c r="G5318" s="124">
        <v>0.6</v>
      </c>
      <c r="H5318" s="144">
        <f>VLOOKUP(D5318,Bahan,6,FALSE)</f>
        <v>131610</v>
      </c>
      <c r="I5318" s="126">
        <f>G5318*H5318</f>
        <v>78966</v>
      </c>
    </row>
    <row r="5319" spans="2:10" ht="15.95" customHeight="1" thickBot="1" x14ac:dyDescent="0.3">
      <c r="C5319" s="122"/>
      <c r="D5319" s="117" t="s">
        <v>1219</v>
      </c>
      <c r="E5319" s="118"/>
      <c r="F5319" s="123" t="s">
        <v>159</v>
      </c>
      <c r="G5319" s="124">
        <v>0.12</v>
      </c>
      <c r="H5319" s="144">
        <f>VLOOKUP(D5319,Bahan,6,FALSE)</f>
        <v>14760</v>
      </c>
      <c r="I5319" s="126">
        <f>G5319*H5319</f>
        <v>1771.2</v>
      </c>
    </row>
    <row r="5320" spans="2:10" ht="15.95" customHeight="1" thickBot="1" x14ac:dyDescent="0.3">
      <c r="C5320" s="132"/>
      <c r="D5320" s="133"/>
      <c r="E5320" s="134"/>
      <c r="F5320" s="134"/>
      <c r="G5320" s="135" t="s">
        <v>386</v>
      </c>
      <c r="H5320" s="136"/>
      <c r="I5320" s="137">
        <f>SUM(I5318:I5319)</f>
        <v>80737.2</v>
      </c>
    </row>
    <row r="5321" spans="2:10" ht="15.95" customHeight="1" thickBot="1" x14ac:dyDescent="0.3">
      <c r="C5321" s="116" t="s">
        <v>387</v>
      </c>
      <c r="D5321" s="117" t="s">
        <v>388</v>
      </c>
      <c r="E5321" s="118"/>
      <c r="F5321" s="118"/>
      <c r="G5321" s="165"/>
      <c r="H5321" s="144">
        <f>IF(AND(D5321&lt;&gt;"",F5321&lt;&gt;""),IF(C5321="",IF(F5321="OH",VLOOKUP(D5321,[1]UPAH!$B$3:$G$32,7,0),VLOOKUP(D5321,[1]BAHAN!$A$2:$D$3,4,0)),0),0)</f>
        <v>0</v>
      </c>
      <c r="I5321" s="126">
        <f>G5321*H5321</f>
        <v>0</v>
      </c>
    </row>
    <row r="5322" spans="2:10" ht="15.95" customHeight="1" thickBot="1" x14ac:dyDescent="0.3">
      <c r="C5322" s="132"/>
      <c r="D5322" s="133"/>
      <c r="E5322" s="134"/>
      <c r="F5322" s="134"/>
      <c r="G5322" s="135" t="s">
        <v>389</v>
      </c>
      <c r="H5322" s="136"/>
      <c r="I5322" s="137">
        <f>I5321</f>
        <v>0</v>
      </c>
    </row>
    <row r="5323" spans="2:10" ht="15.95" customHeight="1" x14ac:dyDescent="0.25">
      <c r="C5323" s="158" t="s">
        <v>390</v>
      </c>
      <c r="D5323" s="159" t="s">
        <v>391</v>
      </c>
      <c r="E5323" s="160"/>
      <c r="F5323" s="160"/>
      <c r="G5323" s="161"/>
      <c r="H5323" s="162">
        <f>IF(AND(D5323&lt;&gt;"",F5323&lt;&gt;""),IF(C5323="",IF(F5323="OH",VLOOKUP(D5323,[1]UPAH!$B$3:$G$32,7,0),VLOOKUP(D5323,[1]BAHAN!$A$2:$D$3,4,0)),0),0)</f>
        <v>0</v>
      </c>
      <c r="I5323" s="126">
        <f>SUM(I5312:I5322)/2</f>
        <v>111082.20000000001</v>
      </c>
    </row>
    <row r="5324" spans="2:10" ht="15.95" customHeight="1" thickBot="1" x14ac:dyDescent="0.3">
      <c r="C5324" s="147" t="s">
        <v>392</v>
      </c>
      <c r="D5324" s="148" t="s">
        <v>393</v>
      </c>
      <c r="E5324" s="149"/>
      <c r="F5324" s="149"/>
      <c r="G5324" s="164">
        <v>0.1</v>
      </c>
      <c r="H5324" s="151"/>
      <c r="I5324" s="146">
        <f>G5324*I5323</f>
        <v>11108.220000000001</v>
      </c>
    </row>
    <row r="5325" spans="2:10" ht="15.95" customHeight="1" thickBot="1" x14ac:dyDescent="0.3">
      <c r="C5325" s="111" t="s">
        <v>394</v>
      </c>
      <c r="D5325" s="112" t="s">
        <v>395</v>
      </c>
      <c r="E5325" s="134"/>
      <c r="F5325" s="134"/>
      <c r="G5325" s="156"/>
      <c r="H5325" s="136">
        <f>IF(AND(D5325&lt;&gt;"",F5325&lt;&gt;""),IF(C5325="",IF(F5325="OH",VLOOKUP(D5325,[1]UPAH!$B$3:$G$32,7,0),VLOOKUP(D5325,[1]BAHAN!$A$2:$D$3,4,0)),0),0)</f>
        <v>0</v>
      </c>
      <c r="I5325" s="137">
        <f>ROUNDDOWN(I5323+I5324,0)</f>
        <v>122190</v>
      </c>
    </row>
    <row r="5326" spans="2:10" ht="15.95" customHeight="1" x14ac:dyDescent="0.25">
      <c r="C5326" s="109"/>
      <c r="D5326" s="109"/>
      <c r="G5326" s="157"/>
    </row>
    <row r="5327" spans="2:10" ht="15.95" customHeight="1" thickBot="1" x14ac:dyDescent="0.3">
      <c r="B5327" s="109" t="s">
        <v>1224</v>
      </c>
      <c r="C5327" s="104" t="s">
        <v>1225</v>
      </c>
      <c r="G5327" s="157"/>
      <c r="J5327" s="110">
        <f>I5343</f>
        <v>143906</v>
      </c>
    </row>
    <row r="5328" spans="2:10" ht="15.95" customHeight="1" thickBot="1" x14ac:dyDescent="0.3">
      <c r="C5328" s="111" t="s">
        <v>328</v>
      </c>
      <c r="D5328" s="112" t="s">
        <v>359</v>
      </c>
      <c r="E5328" s="113" t="s">
        <v>360</v>
      </c>
      <c r="F5328" s="113" t="s">
        <v>330</v>
      </c>
      <c r="G5328" s="114" t="s">
        <v>361</v>
      </c>
      <c r="H5328" s="112" t="s">
        <v>362</v>
      </c>
      <c r="I5328" s="115" t="s">
        <v>363</v>
      </c>
    </row>
    <row r="5329" spans="3:9" ht="15.95" customHeight="1" x14ac:dyDescent="0.25">
      <c r="C5329" s="116" t="s">
        <v>364</v>
      </c>
      <c r="D5329" s="117" t="s">
        <v>365</v>
      </c>
      <c r="E5329" s="118"/>
      <c r="F5329" s="118"/>
      <c r="G5329" s="165"/>
      <c r="H5329" s="144"/>
      <c r="I5329" s="126"/>
    </row>
    <row r="5330" spans="3:9" ht="15.95" customHeight="1" x14ac:dyDescent="0.25">
      <c r="C5330" s="122"/>
      <c r="D5330" s="117" t="s">
        <v>366</v>
      </c>
      <c r="E5330" s="123" t="s">
        <v>367</v>
      </c>
      <c r="F5330" s="123" t="s">
        <v>368</v>
      </c>
      <c r="G5330" s="124">
        <v>0.14000000000000001</v>
      </c>
      <c r="H5330" s="125">
        <f>VLOOKUP(D5330,Upah,8,FALSE)</f>
        <v>125000</v>
      </c>
      <c r="I5330" s="126">
        <f>G5330*H5330</f>
        <v>17500</v>
      </c>
    </row>
    <row r="5331" spans="3:9" ht="15.95" customHeight="1" x14ac:dyDescent="0.25">
      <c r="C5331" s="122"/>
      <c r="D5331" s="117" t="s">
        <v>369</v>
      </c>
      <c r="E5331" s="123" t="s">
        <v>370</v>
      </c>
      <c r="F5331" s="123" t="s">
        <v>368</v>
      </c>
      <c r="G5331" s="124">
        <v>7.0000000000000007E-2</v>
      </c>
      <c r="H5331" s="125">
        <f>VLOOKUP(D5331,Upah,8,FALSE)</f>
        <v>150000</v>
      </c>
      <c r="I5331" s="126">
        <f>G5331*H5331</f>
        <v>10500.000000000002</v>
      </c>
    </row>
    <row r="5332" spans="3:9" ht="15.95" customHeight="1" x14ac:dyDescent="0.25">
      <c r="C5332" s="122"/>
      <c r="D5332" s="117" t="s">
        <v>429</v>
      </c>
      <c r="E5332" s="123" t="s">
        <v>372</v>
      </c>
      <c r="F5332" s="123" t="s">
        <v>368</v>
      </c>
      <c r="G5332" s="124">
        <v>7.0000000000000001E-3</v>
      </c>
      <c r="H5332" s="125">
        <f>VLOOKUP(D5332,Upah,8,FALSE)</f>
        <v>165000</v>
      </c>
      <c r="I5332" s="126">
        <f>G5332*H5332</f>
        <v>1155</v>
      </c>
    </row>
    <row r="5333" spans="3:9" ht="15.95" customHeight="1" thickBot="1" x14ac:dyDescent="0.3">
      <c r="C5333" s="122"/>
      <c r="D5333" s="117" t="s">
        <v>373</v>
      </c>
      <c r="E5333" s="123" t="s">
        <v>374</v>
      </c>
      <c r="F5333" s="123" t="s">
        <v>368</v>
      </c>
      <c r="G5333" s="124">
        <v>7.0000000000000001E-3</v>
      </c>
      <c r="H5333" s="125">
        <f>VLOOKUP(D5333,Upah,8,FALSE)</f>
        <v>170000</v>
      </c>
      <c r="I5333" s="126">
        <f>G5333*H5333</f>
        <v>1190</v>
      </c>
    </row>
    <row r="5334" spans="3:9" ht="15.95" customHeight="1" thickBot="1" x14ac:dyDescent="0.3">
      <c r="C5334" s="132"/>
      <c r="D5334" s="133"/>
      <c r="E5334" s="134"/>
      <c r="F5334" s="134"/>
      <c r="G5334" s="135" t="s">
        <v>375</v>
      </c>
      <c r="H5334" s="136"/>
      <c r="I5334" s="137">
        <f>SUM(I5330:I5333)</f>
        <v>30345</v>
      </c>
    </row>
    <row r="5335" spans="3:9" ht="15.95" customHeight="1" x14ac:dyDescent="0.25">
      <c r="C5335" s="116" t="s">
        <v>376</v>
      </c>
      <c r="D5335" s="117" t="s">
        <v>377</v>
      </c>
      <c r="E5335" s="118"/>
      <c r="F5335" s="118"/>
      <c r="G5335" s="165"/>
      <c r="H5335" s="144"/>
      <c r="I5335" s="126"/>
    </row>
    <row r="5336" spans="3:9" ht="15.95" customHeight="1" x14ac:dyDescent="0.25">
      <c r="C5336" s="122"/>
      <c r="D5336" s="117" t="s">
        <v>1218</v>
      </c>
      <c r="E5336" s="118"/>
      <c r="F5336" s="123" t="s">
        <v>399</v>
      </c>
      <c r="G5336" s="124">
        <v>0.75</v>
      </c>
      <c r="H5336" s="144">
        <f>VLOOKUP(D5336,Bahan,6,FALSE)</f>
        <v>131610</v>
      </c>
      <c r="I5336" s="126">
        <f>G5336*H5336</f>
        <v>98707.5</v>
      </c>
    </row>
    <row r="5337" spans="3:9" ht="15.95" customHeight="1" thickBot="1" x14ac:dyDescent="0.3">
      <c r="C5337" s="122"/>
      <c r="D5337" s="117" t="s">
        <v>1219</v>
      </c>
      <c r="E5337" s="118"/>
      <c r="F5337" s="123" t="s">
        <v>159</v>
      </c>
      <c r="G5337" s="124">
        <v>0.12</v>
      </c>
      <c r="H5337" s="144">
        <f>VLOOKUP(D5337,Bahan,6,FALSE)</f>
        <v>14760</v>
      </c>
      <c r="I5337" s="126">
        <f>G5337*H5337</f>
        <v>1771.2</v>
      </c>
    </row>
    <row r="5338" spans="3:9" ht="15.95" customHeight="1" thickBot="1" x14ac:dyDescent="0.3">
      <c r="C5338" s="132"/>
      <c r="D5338" s="133"/>
      <c r="E5338" s="134"/>
      <c r="F5338" s="134"/>
      <c r="G5338" s="135" t="s">
        <v>386</v>
      </c>
      <c r="H5338" s="136"/>
      <c r="I5338" s="137">
        <f>SUM(I5336:I5337)</f>
        <v>100478.7</v>
      </c>
    </row>
    <row r="5339" spans="3:9" ht="15.95" customHeight="1" thickBot="1" x14ac:dyDescent="0.3">
      <c r="C5339" s="116" t="s">
        <v>387</v>
      </c>
      <c r="D5339" s="117" t="s">
        <v>388</v>
      </c>
      <c r="E5339" s="118"/>
      <c r="F5339" s="118"/>
      <c r="G5339" s="165"/>
      <c r="H5339" s="144">
        <f>IF(AND(D5339&lt;&gt;"",F5339&lt;&gt;""),IF(C5339="",IF(F5339="OH",VLOOKUP(D5339,[1]UPAH!$B$3:$G$32,7,0),VLOOKUP(D5339,[1]BAHAN!$A$2:$D$3,4,0)),0),0)</f>
        <v>0</v>
      </c>
      <c r="I5339" s="126">
        <f>G5339*H5339</f>
        <v>0</v>
      </c>
    </row>
    <row r="5340" spans="3:9" ht="15.95" customHeight="1" thickBot="1" x14ac:dyDescent="0.3">
      <c r="C5340" s="132"/>
      <c r="D5340" s="133"/>
      <c r="E5340" s="134"/>
      <c r="F5340" s="134"/>
      <c r="G5340" s="135" t="s">
        <v>389</v>
      </c>
      <c r="H5340" s="136"/>
      <c r="I5340" s="137">
        <f>I5339</f>
        <v>0</v>
      </c>
    </row>
    <row r="5341" spans="3:9" ht="15.95" customHeight="1" x14ac:dyDescent="0.25">
      <c r="C5341" s="158" t="s">
        <v>390</v>
      </c>
      <c r="D5341" s="159" t="s">
        <v>391</v>
      </c>
      <c r="E5341" s="160"/>
      <c r="F5341" s="160"/>
      <c r="G5341" s="161"/>
      <c r="H5341" s="162">
        <f>IF(AND(D5341&lt;&gt;"",F5341&lt;&gt;""),IF(C5341="",IF(F5341="OH",VLOOKUP(D5341,[1]UPAH!$B$3:$G$32,7,0),VLOOKUP(D5341,[1]BAHAN!$A$2:$D$3,4,0)),0),0)</f>
        <v>0</v>
      </c>
      <c r="I5341" s="126">
        <f>SUM(I5330:I5340)/2</f>
        <v>130823.70000000001</v>
      </c>
    </row>
    <row r="5342" spans="3:9" ht="15.95" customHeight="1" thickBot="1" x14ac:dyDescent="0.3">
      <c r="C5342" s="147" t="s">
        <v>392</v>
      </c>
      <c r="D5342" s="148" t="s">
        <v>393</v>
      </c>
      <c r="E5342" s="149"/>
      <c r="F5342" s="149"/>
      <c r="G5342" s="164">
        <v>0.1</v>
      </c>
      <c r="H5342" s="151"/>
      <c r="I5342" s="146">
        <f>G5342*I5341</f>
        <v>13082.370000000003</v>
      </c>
    </row>
    <row r="5343" spans="3:9" ht="15.95" customHeight="1" thickBot="1" x14ac:dyDescent="0.3">
      <c r="C5343" s="111" t="s">
        <v>394</v>
      </c>
      <c r="D5343" s="112" t="s">
        <v>395</v>
      </c>
      <c r="E5343" s="134"/>
      <c r="F5343" s="134"/>
      <c r="G5343" s="156"/>
      <c r="H5343" s="136">
        <f>IF(AND(D5343&lt;&gt;"",F5343&lt;&gt;""),IF(C5343="",IF(F5343="OH",VLOOKUP(D5343,[1]UPAH!$B$3:$G$32,7,0),VLOOKUP(D5343,[1]BAHAN!$A$2:$D$3,4,0)),0),0)</f>
        <v>0</v>
      </c>
      <c r="I5343" s="137">
        <f>ROUNDDOWN(I5341+I5342,0)</f>
        <v>143906</v>
      </c>
    </row>
    <row r="5344" spans="3:9" ht="15.95" customHeight="1" x14ac:dyDescent="0.25">
      <c r="C5344" s="109"/>
      <c r="D5344" s="109"/>
      <c r="G5344" s="157"/>
    </row>
    <row r="5345" spans="2:10" ht="15.95" customHeight="1" thickBot="1" x14ac:dyDescent="0.3">
      <c r="B5345" s="109" t="s">
        <v>1226</v>
      </c>
      <c r="C5345" s="104" t="s">
        <v>1227</v>
      </c>
      <c r="G5345" s="157"/>
      <c r="J5345" s="110">
        <f>I5361</f>
        <v>85997</v>
      </c>
    </row>
    <row r="5346" spans="2:10" ht="15.95" customHeight="1" thickBot="1" x14ac:dyDescent="0.3">
      <c r="C5346" s="111" t="s">
        <v>328</v>
      </c>
      <c r="D5346" s="112" t="s">
        <v>359</v>
      </c>
      <c r="E5346" s="113" t="s">
        <v>360</v>
      </c>
      <c r="F5346" s="113" t="s">
        <v>330</v>
      </c>
      <c r="G5346" s="114" t="s">
        <v>361</v>
      </c>
      <c r="H5346" s="112" t="s">
        <v>362</v>
      </c>
      <c r="I5346" s="115" t="s">
        <v>363</v>
      </c>
    </row>
    <row r="5347" spans="2:10" ht="15.95" customHeight="1" x14ac:dyDescent="0.25">
      <c r="C5347" s="116" t="s">
        <v>364</v>
      </c>
      <c r="D5347" s="117" t="s">
        <v>365</v>
      </c>
      <c r="E5347" s="118"/>
      <c r="F5347" s="118"/>
      <c r="G5347" s="165"/>
      <c r="H5347" s="144"/>
      <c r="I5347" s="126"/>
    </row>
    <row r="5348" spans="2:10" ht="15.95" customHeight="1" x14ac:dyDescent="0.25">
      <c r="C5348" s="122"/>
      <c r="D5348" s="117" t="s">
        <v>366</v>
      </c>
      <c r="E5348" s="123" t="s">
        <v>367</v>
      </c>
      <c r="F5348" s="123" t="s">
        <v>368</v>
      </c>
      <c r="G5348" s="124">
        <v>0.14000000000000001</v>
      </c>
      <c r="H5348" s="125">
        <f>VLOOKUP(D5348,Upah,8,FALSE)</f>
        <v>125000</v>
      </c>
      <c r="I5348" s="126">
        <f>G5348*H5348</f>
        <v>17500</v>
      </c>
    </row>
    <row r="5349" spans="2:10" ht="15.95" customHeight="1" x14ac:dyDescent="0.25">
      <c r="C5349" s="122"/>
      <c r="D5349" s="117" t="s">
        <v>369</v>
      </c>
      <c r="E5349" s="123" t="s">
        <v>370</v>
      </c>
      <c r="F5349" s="123" t="s">
        <v>368</v>
      </c>
      <c r="G5349" s="124">
        <v>7.0000000000000007E-2</v>
      </c>
      <c r="H5349" s="125">
        <f>VLOOKUP(D5349,Upah,8,FALSE)</f>
        <v>150000</v>
      </c>
      <c r="I5349" s="126">
        <f>G5349*H5349</f>
        <v>10500.000000000002</v>
      </c>
    </row>
    <row r="5350" spans="2:10" ht="15.95" customHeight="1" x14ac:dyDescent="0.25">
      <c r="C5350" s="122"/>
      <c r="D5350" s="117" t="s">
        <v>429</v>
      </c>
      <c r="E5350" s="123" t="s">
        <v>372</v>
      </c>
      <c r="F5350" s="123" t="s">
        <v>368</v>
      </c>
      <c r="G5350" s="124">
        <v>7.0000000000000001E-3</v>
      </c>
      <c r="H5350" s="125">
        <f>VLOOKUP(D5350,Upah,8,FALSE)</f>
        <v>165000</v>
      </c>
      <c r="I5350" s="126">
        <f>G5350*H5350</f>
        <v>1155</v>
      </c>
    </row>
    <row r="5351" spans="2:10" ht="15.95" customHeight="1" thickBot="1" x14ac:dyDescent="0.3">
      <c r="C5351" s="122"/>
      <c r="D5351" s="117" t="s">
        <v>373</v>
      </c>
      <c r="E5351" s="123" t="s">
        <v>374</v>
      </c>
      <c r="F5351" s="123" t="s">
        <v>368</v>
      </c>
      <c r="G5351" s="124">
        <v>7.0000000000000001E-3</v>
      </c>
      <c r="H5351" s="125">
        <f>VLOOKUP(D5351,Upah,8,FALSE)</f>
        <v>170000</v>
      </c>
      <c r="I5351" s="126">
        <f>G5351*H5351</f>
        <v>1190</v>
      </c>
    </row>
    <row r="5352" spans="2:10" ht="15.95" customHeight="1" thickBot="1" x14ac:dyDescent="0.3">
      <c r="C5352" s="132"/>
      <c r="D5352" s="133"/>
      <c r="E5352" s="134"/>
      <c r="F5352" s="134"/>
      <c r="G5352" s="135" t="s">
        <v>375</v>
      </c>
      <c r="H5352" s="136"/>
      <c r="I5352" s="137">
        <f>SUM(I5348:I5351)</f>
        <v>30345</v>
      </c>
    </row>
    <row r="5353" spans="2:10" ht="15.95" customHeight="1" x14ac:dyDescent="0.25">
      <c r="C5353" s="116" t="s">
        <v>376</v>
      </c>
      <c r="D5353" s="117" t="s">
        <v>377</v>
      </c>
      <c r="E5353" s="118"/>
      <c r="F5353" s="118"/>
      <c r="G5353" s="165"/>
      <c r="H5353" s="144"/>
      <c r="I5353" s="126"/>
    </row>
    <row r="5354" spans="2:10" ht="15.95" customHeight="1" x14ac:dyDescent="0.25">
      <c r="C5354" s="122"/>
      <c r="D5354" s="117" t="s">
        <v>1218</v>
      </c>
      <c r="E5354" s="118"/>
      <c r="F5354" s="123" t="s">
        <v>399</v>
      </c>
      <c r="G5354" s="124">
        <v>0.35</v>
      </c>
      <c r="H5354" s="144">
        <f>VLOOKUP(D5354,Bahan,6,FALSE)</f>
        <v>131610</v>
      </c>
      <c r="I5354" s="126">
        <f>G5354*H5354</f>
        <v>46063.5</v>
      </c>
    </row>
    <row r="5355" spans="2:10" ht="15.95" customHeight="1" thickBot="1" x14ac:dyDescent="0.3">
      <c r="C5355" s="122"/>
      <c r="D5355" s="117" t="s">
        <v>1219</v>
      </c>
      <c r="E5355" s="118"/>
      <c r="F5355" s="123" t="s">
        <v>159</v>
      </c>
      <c r="G5355" s="124">
        <v>0.12</v>
      </c>
      <c r="H5355" s="144">
        <f>VLOOKUP(D5355,Bahan,6,FALSE)</f>
        <v>14760</v>
      </c>
      <c r="I5355" s="126">
        <f>G5355*H5355</f>
        <v>1771.2</v>
      </c>
    </row>
    <row r="5356" spans="2:10" ht="15.95" customHeight="1" thickBot="1" x14ac:dyDescent="0.3">
      <c r="C5356" s="132"/>
      <c r="D5356" s="133"/>
      <c r="E5356" s="134"/>
      <c r="F5356" s="134"/>
      <c r="G5356" s="135" t="s">
        <v>386</v>
      </c>
      <c r="H5356" s="136"/>
      <c r="I5356" s="137">
        <f>SUM(I5354:I5355)</f>
        <v>47834.7</v>
      </c>
    </row>
    <row r="5357" spans="2:10" ht="15.95" customHeight="1" thickBot="1" x14ac:dyDescent="0.3">
      <c r="C5357" s="116" t="s">
        <v>387</v>
      </c>
      <c r="D5357" s="117" t="s">
        <v>388</v>
      </c>
      <c r="E5357" s="118"/>
      <c r="F5357" s="118"/>
      <c r="G5357" s="165"/>
      <c r="H5357" s="144">
        <f>IF(AND(D5357&lt;&gt;"",F5357&lt;&gt;""),IF(C5357="",IF(F5357="OH",VLOOKUP(D5357,[1]UPAH!$B$3:$G$32,7,0),VLOOKUP(D5357,[1]BAHAN!$A$2:$D$3,4,0)),0),0)</f>
        <v>0</v>
      </c>
      <c r="I5357" s="126">
        <f>G5357*H5357</f>
        <v>0</v>
      </c>
    </row>
    <row r="5358" spans="2:10" ht="15.95" customHeight="1" thickBot="1" x14ac:dyDescent="0.3">
      <c r="C5358" s="132"/>
      <c r="D5358" s="133"/>
      <c r="E5358" s="134"/>
      <c r="F5358" s="134"/>
      <c r="G5358" s="135" t="s">
        <v>389</v>
      </c>
      <c r="H5358" s="136"/>
      <c r="I5358" s="137">
        <f>I5357</f>
        <v>0</v>
      </c>
    </row>
    <row r="5359" spans="2:10" ht="15.95" customHeight="1" x14ac:dyDescent="0.25">
      <c r="C5359" s="158" t="s">
        <v>390</v>
      </c>
      <c r="D5359" s="159" t="s">
        <v>391</v>
      </c>
      <c r="E5359" s="160"/>
      <c r="F5359" s="160"/>
      <c r="G5359" s="161"/>
      <c r="H5359" s="162">
        <f>IF(AND(D5359&lt;&gt;"",F5359&lt;&gt;""),IF(C5359="",IF(F5359="OH",VLOOKUP(D5359,[1]UPAH!$B$3:$G$32,7,0),VLOOKUP(D5359,[1]BAHAN!$A$2:$D$3,4,0)),0),0)</f>
        <v>0</v>
      </c>
      <c r="I5359" s="126">
        <f>SUM(I5348:I5358)/2</f>
        <v>78179.7</v>
      </c>
    </row>
    <row r="5360" spans="2:10" ht="15.95" customHeight="1" thickBot="1" x14ac:dyDescent="0.3">
      <c r="C5360" s="195" t="s">
        <v>392</v>
      </c>
      <c r="D5360" s="196" t="s">
        <v>393</v>
      </c>
      <c r="E5360" s="197"/>
      <c r="F5360" s="197"/>
      <c r="G5360" s="233">
        <v>0.1</v>
      </c>
      <c r="H5360" s="199"/>
      <c r="I5360" s="182">
        <f>G5360*I5359</f>
        <v>7817.97</v>
      </c>
    </row>
    <row r="5361" spans="2:10" ht="15.95" customHeight="1" thickBot="1" x14ac:dyDescent="0.3">
      <c r="C5361" s="111" t="s">
        <v>394</v>
      </c>
      <c r="D5361" s="112" t="s">
        <v>395</v>
      </c>
      <c r="E5361" s="134"/>
      <c r="F5361" s="134"/>
      <c r="G5361" s="156"/>
      <c r="H5361" s="136">
        <f>IF(AND(D5361&lt;&gt;"",F5361&lt;&gt;""),IF(C5361="",IF(F5361="OH",VLOOKUP(D5361,[1]UPAH!$B$3:$G$32,7,0),VLOOKUP(D5361,[1]BAHAN!$A$2:$D$3,4,0)),0),0)</f>
        <v>0</v>
      </c>
      <c r="I5361" s="137">
        <f>ROUNDDOWN(I5359+I5360,0)</f>
        <v>85997</v>
      </c>
    </row>
    <row r="5362" spans="2:10" ht="15.95" customHeight="1" x14ac:dyDescent="0.25">
      <c r="C5362" s="109"/>
      <c r="D5362" s="109"/>
      <c r="G5362" s="157"/>
    </row>
    <row r="5363" spans="2:10" ht="15.95" customHeight="1" thickBot="1" x14ac:dyDescent="0.3">
      <c r="B5363" s="109" t="s">
        <v>1228</v>
      </c>
      <c r="C5363" s="104" t="s">
        <v>1229</v>
      </c>
      <c r="G5363" s="157"/>
      <c r="J5363" s="110">
        <f>I5379</f>
        <v>96131</v>
      </c>
    </row>
    <row r="5364" spans="2:10" ht="15.95" customHeight="1" thickBot="1" x14ac:dyDescent="0.3">
      <c r="C5364" s="111" t="s">
        <v>328</v>
      </c>
      <c r="D5364" s="112" t="s">
        <v>359</v>
      </c>
      <c r="E5364" s="113" t="s">
        <v>360</v>
      </c>
      <c r="F5364" s="113" t="s">
        <v>330</v>
      </c>
      <c r="G5364" s="114" t="s">
        <v>361</v>
      </c>
      <c r="H5364" s="112" t="s">
        <v>362</v>
      </c>
      <c r="I5364" s="115" t="s">
        <v>363</v>
      </c>
    </row>
    <row r="5365" spans="2:10" ht="15.95" customHeight="1" x14ac:dyDescent="0.25">
      <c r="C5365" s="116" t="s">
        <v>364</v>
      </c>
      <c r="D5365" s="117" t="s">
        <v>365</v>
      </c>
      <c r="E5365" s="118"/>
      <c r="F5365" s="118"/>
      <c r="G5365" s="165"/>
      <c r="H5365" s="144"/>
      <c r="I5365" s="126"/>
    </row>
    <row r="5366" spans="2:10" ht="15.95" customHeight="1" x14ac:dyDescent="0.25">
      <c r="C5366" s="122"/>
      <c r="D5366" s="117" t="s">
        <v>366</v>
      </c>
      <c r="E5366" s="123" t="s">
        <v>367</v>
      </c>
      <c r="F5366" s="123" t="s">
        <v>368</v>
      </c>
      <c r="G5366" s="124">
        <v>0.14000000000000001</v>
      </c>
      <c r="H5366" s="125">
        <f>VLOOKUP(D5366,Upah,8,FALSE)</f>
        <v>125000</v>
      </c>
      <c r="I5366" s="126">
        <f>G5366*H5366</f>
        <v>17500</v>
      </c>
    </row>
    <row r="5367" spans="2:10" ht="15.95" customHeight="1" x14ac:dyDescent="0.25">
      <c r="C5367" s="122"/>
      <c r="D5367" s="117" t="s">
        <v>369</v>
      </c>
      <c r="E5367" s="123" t="s">
        <v>370</v>
      </c>
      <c r="F5367" s="123" t="s">
        <v>368</v>
      </c>
      <c r="G5367" s="124">
        <v>7.0000000000000007E-2</v>
      </c>
      <c r="H5367" s="125">
        <f>VLOOKUP(D5367,Upah,8,FALSE)</f>
        <v>150000</v>
      </c>
      <c r="I5367" s="126">
        <f>G5367*H5367</f>
        <v>10500.000000000002</v>
      </c>
    </row>
    <row r="5368" spans="2:10" ht="15.95" customHeight="1" x14ac:dyDescent="0.25">
      <c r="C5368" s="122"/>
      <c r="D5368" s="117" t="s">
        <v>429</v>
      </c>
      <c r="E5368" s="123" t="s">
        <v>372</v>
      </c>
      <c r="F5368" s="123" t="s">
        <v>368</v>
      </c>
      <c r="G5368" s="124">
        <v>7.0000000000000001E-3</v>
      </c>
      <c r="H5368" s="125">
        <f>VLOOKUP(D5368,Upah,8,FALSE)</f>
        <v>165000</v>
      </c>
      <c r="I5368" s="126">
        <f>G5368*H5368</f>
        <v>1155</v>
      </c>
    </row>
    <row r="5369" spans="2:10" ht="15.95" customHeight="1" thickBot="1" x14ac:dyDescent="0.3">
      <c r="C5369" s="122"/>
      <c r="D5369" s="117" t="s">
        <v>373</v>
      </c>
      <c r="E5369" s="123" t="s">
        <v>374</v>
      </c>
      <c r="F5369" s="123" t="s">
        <v>368</v>
      </c>
      <c r="G5369" s="124">
        <v>7.0000000000000001E-3</v>
      </c>
      <c r="H5369" s="125">
        <f>VLOOKUP(D5369,Upah,8,FALSE)</f>
        <v>170000</v>
      </c>
      <c r="I5369" s="126">
        <f>G5369*H5369</f>
        <v>1190</v>
      </c>
    </row>
    <row r="5370" spans="2:10" ht="15.95" customHeight="1" thickBot="1" x14ac:dyDescent="0.3">
      <c r="C5370" s="132"/>
      <c r="D5370" s="133"/>
      <c r="E5370" s="134"/>
      <c r="F5370" s="134"/>
      <c r="G5370" s="135" t="s">
        <v>375</v>
      </c>
      <c r="H5370" s="136"/>
      <c r="I5370" s="137">
        <f>SUM(I5366:I5369)</f>
        <v>30345</v>
      </c>
    </row>
    <row r="5371" spans="2:10" ht="15.95" customHeight="1" x14ac:dyDescent="0.25">
      <c r="C5371" s="116" t="s">
        <v>376</v>
      </c>
      <c r="D5371" s="117" t="s">
        <v>377</v>
      </c>
      <c r="E5371" s="118"/>
      <c r="F5371" s="118"/>
      <c r="G5371" s="165"/>
      <c r="H5371" s="144"/>
      <c r="I5371" s="126"/>
    </row>
    <row r="5372" spans="2:10" ht="15.95" customHeight="1" x14ac:dyDescent="0.25">
      <c r="C5372" s="122"/>
      <c r="D5372" s="117" t="s">
        <v>1218</v>
      </c>
      <c r="E5372" s="118"/>
      <c r="F5372" s="123" t="s">
        <v>399</v>
      </c>
      <c r="G5372" s="124">
        <v>0.42</v>
      </c>
      <c r="H5372" s="144">
        <f>VLOOKUP(D5372,Bahan,6,FALSE)</f>
        <v>131610</v>
      </c>
      <c r="I5372" s="126">
        <f>G5372*H5372</f>
        <v>55276.2</v>
      </c>
    </row>
    <row r="5373" spans="2:10" ht="15.95" customHeight="1" thickBot="1" x14ac:dyDescent="0.3">
      <c r="C5373" s="122"/>
      <c r="D5373" s="117" t="s">
        <v>1219</v>
      </c>
      <c r="E5373" s="118"/>
      <c r="F5373" s="123" t="s">
        <v>159</v>
      </c>
      <c r="G5373" s="124">
        <v>0.12</v>
      </c>
      <c r="H5373" s="144">
        <f>VLOOKUP(D5373,Bahan,6,FALSE)</f>
        <v>14760</v>
      </c>
      <c r="I5373" s="126">
        <f>G5373*H5373</f>
        <v>1771.2</v>
      </c>
    </row>
    <row r="5374" spans="2:10" ht="15.95" customHeight="1" thickBot="1" x14ac:dyDescent="0.3">
      <c r="C5374" s="132"/>
      <c r="D5374" s="133"/>
      <c r="E5374" s="134"/>
      <c r="F5374" s="134"/>
      <c r="G5374" s="135" t="s">
        <v>386</v>
      </c>
      <c r="H5374" s="136"/>
      <c r="I5374" s="137">
        <f>SUM(I5372:I5373)</f>
        <v>57047.399999999994</v>
      </c>
    </row>
    <row r="5375" spans="2:10" ht="15.95" customHeight="1" thickBot="1" x14ac:dyDescent="0.3">
      <c r="C5375" s="116" t="s">
        <v>387</v>
      </c>
      <c r="D5375" s="117" t="s">
        <v>388</v>
      </c>
      <c r="E5375" s="118"/>
      <c r="F5375" s="118"/>
      <c r="G5375" s="165"/>
      <c r="H5375" s="144">
        <f>IF(AND(D5375&lt;&gt;"",F5375&lt;&gt;""),IF(C5375="",IF(F5375="OH",VLOOKUP(D5375,[1]UPAH!$B$3:$G$32,7,0),VLOOKUP(D5375,[1]BAHAN!$A$2:$D$3,4,0)),0),0)</f>
        <v>0</v>
      </c>
      <c r="I5375" s="126">
        <f>G5375*H5375</f>
        <v>0</v>
      </c>
    </row>
    <row r="5376" spans="2:10" ht="15.95" customHeight="1" thickBot="1" x14ac:dyDescent="0.3">
      <c r="C5376" s="132"/>
      <c r="D5376" s="133"/>
      <c r="E5376" s="134"/>
      <c r="F5376" s="134"/>
      <c r="G5376" s="135" t="s">
        <v>389</v>
      </c>
      <c r="H5376" s="136"/>
      <c r="I5376" s="137">
        <f>I5375</f>
        <v>0</v>
      </c>
    </row>
    <row r="5377" spans="2:10" ht="15.95" customHeight="1" x14ac:dyDescent="0.25">
      <c r="C5377" s="158" t="s">
        <v>390</v>
      </c>
      <c r="D5377" s="159" t="s">
        <v>391</v>
      </c>
      <c r="E5377" s="160"/>
      <c r="F5377" s="160"/>
      <c r="G5377" s="161"/>
      <c r="H5377" s="162">
        <f>IF(AND(D5377&lt;&gt;"",F5377&lt;&gt;""),IF(C5377="",IF(F5377="OH",VLOOKUP(D5377,[1]UPAH!$B$3:$G$32,7,0),VLOOKUP(D5377,[1]BAHAN!$A$2:$D$3,4,0)),0),0)</f>
        <v>0</v>
      </c>
      <c r="I5377" s="126">
        <f>SUM(I5366:I5376)/2</f>
        <v>87392.4</v>
      </c>
    </row>
    <row r="5378" spans="2:10" ht="15.95" customHeight="1" thickBot="1" x14ac:dyDescent="0.3">
      <c r="C5378" s="147" t="s">
        <v>392</v>
      </c>
      <c r="D5378" s="148" t="s">
        <v>393</v>
      </c>
      <c r="E5378" s="149"/>
      <c r="F5378" s="149"/>
      <c r="G5378" s="164">
        <v>0.1</v>
      </c>
      <c r="H5378" s="151"/>
      <c r="I5378" s="146">
        <f>G5378*I5377</f>
        <v>8739.24</v>
      </c>
    </row>
    <row r="5379" spans="2:10" ht="15.95" customHeight="1" thickBot="1" x14ac:dyDescent="0.3">
      <c r="C5379" s="111" t="s">
        <v>394</v>
      </c>
      <c r="D5379" s="112" t="s">
        <v>395</v>
      </c>
      <c r="E5379" s="134"/>
      <c r="F5379" s="134"/>
      <c r="G5379" s="156"/>
      <c r="H5379" s="136">
        <f>IF(AND(D5379&lt;&gt;"",F5379&lt;&gt;""),IF(C5379="",IF(F5379="OH",VLOOKUP(D5379,[1]UPAH!$B$3:$G$32,7,0),VLOOKUP(D5379,[1]BAHAN!$A$2:$D$3,4,0)),0),0)</f>
        <v>0</v>
      </c>
      <c r="I5379" s="137">
        <f>ROUNDDOWN(I5377+I5378,0)</f>
        <v>96131</v>
      </c>
    </row>
    <row r="5380" spans="2:10" ht="15.95" customHeight="1" x14ac:dyDescent="0.25">
      <c r="C5380" s="109"/>
      <c r="D5380" s="109"/>
      <c r="G5380" s="157"/>
    </row>
    <row r="5381" spans="2:10" ht="15.95" customHeight="1" thickBot="1" x14ac:dyDescent="0.3">
      <c r="B5381" s="109" t="s">
        <v>1230</v>
      </c>
      <c r="C5381" s="104" t="s">
        <v>1231</v>
      </c>
      <c r="G5381" s="157"/>
      <c r="J5381" s="110">
        <f>I5397</f>
        <v>99027</v>
      </c>
    </row>
    <row r="5382" spans="2:10" ht="15.95" customHeight="1" thickBot="1" x14ac:dyDescent="0.3">
      <c r="C5382" s="111" t="s">
        <v>328</v>
      </c>
      <c r="D5382" s="112" t="s">
        <v>359</v>
      </c>
      <c r="E5382" s="113" t="s">
        <v>360</v>
      </c>
      <c r="F5382" s="113" t="s">
        <v>330</v>
      </c>
      <c r="G5382" s="114" t="s">
        <v>361</v>
      </c>
      <c r="H5382" s="112" t="s">
        <v>362</v>
      </c>
      <c r="I5382" s="115" t="s">
        <v>363</v>
      </c>
    </row>
    <row r="5383" spans="2:10" ht="15.95" customHeight="1" x14ac:dyDescent="0.25">
      <c r="C5383" s="116" t="s">
        <v>364</v>
      </c>
      <c r="D5383" s="117" t="s">
        <v>365</v>
      </c>
      <c r="E5383" s="118"/>
      <c r="F5383" s="118"/>
      <c r="G5383" s="165"/>
      <c r="H5383" s="144"/>
      <c r="I5383" s="126"/>
    </row>
    <row r="5384" spans="2:10" ht="15.95" customHeight="1" x14ac:dyDescent="0.25">
      <c r="C5384" s="122"/>
      <c r="D5384" s="117" t="s">
        <v>366</v>
      </c>
      <c r="E5384" s="123" t="s">
        <v>367</v>
      </c>
      <c r="F5384" s="123" t="s">
        <v>368</v>
      </c>
      <c r="G5384" s="124">
        <v>0.14000000000000001</v>
      </c>
      <c r="H5384" s="125">
        <f>VLOOKUP(D5384,Upah,8,FALSE)</f>
        <v>125000</v>
      </c>
      <c r="I5384" s="126">
        <f>G5384*H5384</f>
        <v>17500</v>
      </c>
    </row>
    <row r="5385" spans="2:10" ht="15.95" customHeight="1" x14ac:dyDescent="0.25">
      <c r="C5385" s="122"/>
      <c r="D5385" s="117" t="s">
        <v>369</v>
      </c>
      <c r="E5385" s="123" t="s">
        <v>370</v>
      </c>
      <c r="F5385" s="123" t="s">
        <v>368</v>
      </c>
      <c r="G5385" s="124">
        <v>7.0000000000000007E-2</v>
      </c>
      <c r="H5385" s="125">
        <f>VLOOKUP(D5385,Upah,8,FALSE)</f>
        <v>150000</v>
      </c>
      <c r="I5385" s="126">
        <f>G5385*H5385</f>
        <v>10500.000000000002</v>
      </c>
    </row>
    <row r="5386" spans="2:10" ht="15.95" customHeight="1" x14ac:dyDescent="0.25">
      <c r="C5386" s="122"/>
      <c r="D5386" s="117" t="s">
        <v>429</v>
      </c>
      <c r="E5386" s="123" t="s">
        <v>372</v>
      </c>
      <c r="F5386" s="123" t="s">
        <v>368</v>
      </c>
      <c r="G5386" s="124">
        <v>7.0000000000000001E-3</v>
      </c>
      <c r="H5386" s="125">
        <f>VLOOKUP(D5386,Upah,8,FALSE)</f>
        <v>165000</v>
      </c>
      <c r="I5386" s="126">
        <f>G5386*H5386</f>
        <v>1155</v>
      </c>
    </row>
    <row r="5387" spans="2:10" ht="15.95" customHeight="1" thickBot="1" x14ac:dyDescent="0.3">
      <c r="C5387" s="122"/>
      <c r="D5387" s="117" t="s">
        <v>373</v>
      </c>
      <c r="E5387" s="123" t="s">
        <v>374</v>
      </c>
      <c r="F5387" s="123" t="s">
        <v>368</v>
      </c>
      <c r="G5387" s="124">
        <v>7.0000000000000001E-3</v>
      </c>
      <c r="H5387" s="125">
        <f>VLOOKUP(D5387,Upah,8,FALSE)</f>
        <v>170000</v>
      </c>
      <c r="I5387" s="126">
        <f>G5387*H5387</f>
        <v>1190</v>
      </c>
    </row>
    <row r="5388" spans="2:10" ht="15.95" customHeight="1" thickBot="1" x14ac:dyDescent="0.3">
      <c r="C5388" s="132"/>
      <c r="D5388" s="133"/>
      <c r="E5388" s="134"/>
      <c r="F5388" s="134"/>
      <c r="G5388" s="135" t="s">
        <v>375</v>
      </c>
      <c r="H5388" s="136"/>
      <c r="I5388" s="137">
        <f>SUM(I5384:I5387)</f>
        <v>30345</v>
      </c>
    </row>
    <row r="5389" spans="2:10" ht="15.95" customHeight="1" x14ac:dyDescent="0.25">
      <c r="C5389" s="116" t="s">
        <v>376</v>
      </c>
      <c r="D5389" s="117" t="s">
        <v>377</v>
      </c>
      <c r="E5389" s="118"/>
      <c r="F5389" s="118"/>
      <c r="G5389" s="165"/>
      <c r="H5389" s="144"/>
      <c r="I5389" s="126"/>
    </row>
    <row r="5390" spans="2:10" ht="15.95" customHeight="1" x14ac:dyDescent="0.25">
      <c r="C5390" s="122"/>
      <c r="D5390" s="117" t="s">
        <v>1218</v>
      </c>
      <c r="E5390" s="118"/>
      <c r="F5390" s="123" t="s">
        <v>399</v>
      </c>
      <c r="G5390" s="124">
        <v>0.44</v>
      </c>
      <c r="H5390" s="144">
        <f>VLOOKUP(D5390,Bahan,6,FALSE)</f>
        <v>131610</v>
      </c>
      <c r="I5390" s="126">
        <f>G5390*H5390</f>
        <v>57908.4</v>
      </c>
    </row>
    <row r="5391" spans="2:10" ht="15.95" customHeight="1" thickBot="1" x14ac:dyDescent="0.3">
      <c r="C5391" s="122"/>
      <c r="D5391" s="117" t="s">
        <v>1219</v>
      </c>
      <c r="E5391" s="118"/>
      <c r="F5391" s="123" t="s">
        <v>159</v>
      </c>
      <c r="G5391" s="124">
        <v>0.12</v>
      </c>
      <c r="H5391" s="144">
        <f>VLOOKUP(D5391,Bahan,6,FALSE)</f>
        <v>14760</v>
      </c>
      <c r="I5391" s="126">
        <f>G5391*H5391</f>
        <v>1771.2</v>
      </c>
    </row>
    <row r="5392" spans="2:10" ht="15.95" customHeight="1" thickBot="1" x14ac:dyDescent="0.3">
      <c r="C5392" s="132"/>
      <c r="D5392" s="133"/>
      <c r="E5392" s="134"/>
      <c r="F5392" s="134"/>
      <c r="G5392" s="135" t="s">
        <v>386</v>
      </c>
      <c r="H5392" s="136"/>
      <c r="I5392" s="137">
        <f>SUM(I5390:I5391)</f>
        <v>59679.6</v>
      </c>
    </row>
    <row r="5393" spans="2:10" ht="15.95" customHeight="1" thickBot="1" x14ac:dyDescent="0.3">
      <c r="C5393" s="116" t="s">
        <v>387</v>
      </c>
      <c r="D5393" s="117" t="s">
        <v>388</v>
      </c>
      <c r="E5393" s="118"/>
      <c r="F5393" s="118"/>
      <c r="G5393" s="165"/>
      <c r="H5393" s="144">
        <f>IF(AND(D5393&lt;&gt;"",F5393&lt;&gt;""),IF(C5393="",IF(F5393="OH",VLOOKUP(D5393,[1]UPAH!$B$3:$G$32,7,0),VLOOKUP(D5393,[1]BAHAN!$A$2:$D$3,4,0)),0),0)</f>
        <v>0</v>
      </c>
      <c r="I5393" s="126">
        <f>G5393*H5393</f>
        <v>0</v>
      </c>
    </row>
    <row r="5394" spans="2:10" ht="15.95" customHeight="1" thickBot="1" x14ac:dyDescent="0.3">
      <c r="C5394" s="132"/>
      <c r="D5394" s="133"/>
      <c r="E5394" s="134"/>
      <c r="F5394" s="134"/>
      <c r="G5394" s="135" t="s">
        <v>389</v>
      </c>
      <c r="H5394" s="136"/>
      <c r="I5394" s="137">
        <f>I5393</f>
        <v>0</v>
      </c>
    </row>
    <row r="5395" spans="2:10" ht="15.95" customHeight="1" x14ac:dyDescent="0.25">
      <c r="C5395" s="158" t="s">
        <v>390</v>
      </c>
      <c r="D5395" s="159" t="s">
        <v>391</v>
      </c>
      <c r="E5395" s="160"/>
      <c r="F5395" s="160"/>
      <c r="G5395" s="161"/>
      <c r="H5395" s="162">
        <f>IF(AND(D5395&lt;&gt;"",F5395&lt;&gt;""),IF(C5395="",IF(F5395="OH",VLOOKUP(D5395,[1]UPAH!$B$3:$G$32,7,0),VLOOKUP(D5395,[1]BAHAN!$A$2:$D$3,4,0)),0),0)</f>
        <v>0</v>
      </c>
      <c r="I5395" s="126">
        <f>SUM(I5384:I5394)/2</f>
        <v>90024.599999999991</v>
      </c>
    </row>
    <row r="5396" spans="2:10" ht="15.95" customHeight="1" thickBot="1" x14ac:dyDescent="0.3">
      <c r="C5396" s="147" t="s">
        <v>392</v>
      </c>
      <c r="D5396" s="148" t="s">
        <v>393</v>
      </c>
      <c r="E5396" s="149"/>
      <c r="F5396" s="149"/>
      <c r="G5396" s="164">
        <v>0.1</v>
      </c>
      <c r="H5396" s="151"/>
      <c r="I5396" s="146">
        <f>G5396*I5395</f>
        <v>9002.4599999999991</v>
      </c>
    </row>
    <row r="5397" spans="2:10" ht="15.95" customHeight="1" thickBot="1" x14ac:dyDescent="0.3">
      <c r="C5397" s="111" t="s">
        <v>394</v>
      </c>
      <c r="D5397" s="112" t="s">
        <v>395</v>
      </c>
      <c r="E5397" s="134"/>
      <c r="F5397" s="134"/>
      <c r="G5397" s="156"/>
      <c r="H5397" s="136">
        <f>IF(AND(D5397&lt;&gt;"",F5397&lt;&gt;""),IF(C5397="",IF(F5397="OH",VLOOKUP(D5397,[1]UPAH!$B$3:$G$32,7,0),VLOOKUP(D5397,[1]BAHAN!$A$2:$D$3,4,0)),0),0)</f>
        <v>0</v>
      </c>
      <c r="I5397" s="137">
        <f>ROUNDDOWN(I5395+I5396,0)</f>
        <v>99027</v>
      </c>
    </row>
    <row r="5398" spans="2:10" ht="15.95" customHeight="1" x14ac:dyDescent="0.25">
      <c r="C5398" s="109"/>
      <c r="D5398" s="109"/>
      <c r="G5398" s="157"/>
    </row>
    <row r="5399" spans="2:10" ht="15.95" customHeight="1" thickBot="1" x14ac:dyDescent="0.3">
      <c r="B5399" s="109" t="s">
        <v>1232</v>
      </c>
      <c r="C5399" s="104" t="s">
        <v>1233</v>
      </c>
      <c r="G5399" s="157"/>
      <c r="J5399" s="110">
        <f>I5415</f>
        <v>109161</v>
      </c>
    </row>
    <row r="5400" spans="2:10" ht="15.95" customHeight="1" thickBot="1" x14ac:dyDescent="0.3">
      <c r="C5400" s="111" t="s">
        <v>328</v>
      </c>
      <c r="D5400" s="112" t="s">
        <v>359</v>
      </c>
      <c r="E5400" s="113" t="s">
        <v>360</v>
      </c>
      <c r="F5400" s="113" t="s">
        <v>330</v>
      </c>
      <c r="G5400" s="114" t="s">
        <v>361</v>
      </c>
      <c r="H5400" s="112" t="s">
        <v>362</v>
      </c>
      <c r="I5400" s="115" t="s">
        <v>363</v>
      </c>
    </row>
    <row r="5401" spans="2:10" ht="15.95" customHeight="1" x14ac:dyDescent="0.25">
      <c r="C5401" s="116" t="s">
        <v>364</v>
      </c>
      <c r="D5401" s="117" t="s">
        <v>365</v>
      </c>
      <c r="E5401" s="118"/>
      <c r="F5401" s="118"/>
      <c r="G5401" s="165"/>
      <c r="H5401" s="144"/>
      <c r="I5401" s="126"/>
    </row>
    <row r="5402" spans="2:10" ht="15.95" customHeight="1" x14ac:dyDescent="0.25">
      <c r="C5402" s="122"/>
      <c r="D5402" s="117" t="s">
        <v>366</v>
      </c>
      <c r="E5402" s="123" t="s">
        <v>367</v>
      </c>
      <c r="F5402" s="123" t="s">
        <v>368</v>
      </c>
      <c r="G5402" s="124">
        <v>0.14000000000000001</v>
      </c>
      <c r="H5402" s="125">
        <f>VLOOKUP(D5402,Upah,8,FALSE)</f>
        <v>125000</v>
      </c>
      <c r="I5402" s="126">
        <f>G5402*H5402</f>
        <v>17500</v>
      </c>
    </row>
    <row r="5403" spans="2:10" ht="15.95" customHeight="1" x14ac:dyDescent="0.25">
      <c r="C5403" s="122"/>
      <c r="D5403" s="117" t="s">
        <v>369</v>
      </c>
      <c r="E5403" s="123" t="s">
        <v>370</v>
      </c>
      <c r="F5403" s="123" t="s">
        <v>368</v>
      </c>
      <c r="G5403" s="124">
        <v>7.0000000000000007E-2</v>
      </c>
      <c r="H5403" s="125">
        <f>VLOOKUP(D5403,Upah,8,FALSE)</f>
        <v>150000</v>
      </c>
      <c r="I5403" s="126">
        <f>G5403*H5403</f>
        <v>10500.000000000002</v>
      </c>
    </row>
    <row r="5404" spans="2:10" ht="15.95" customHeight="1" x14ac:dyDescent="0.25">
      <c r="C5404" s="122"/>
      <c r="D5404" s="117" t="s">
        <v>429</v>
      </c>
      <c r="E5404" s="123" t="s">
        <v>372</v>
      </c>
      <c r="F5404" s="123" t="s">
        <v>368</v>
      </c>
      <c r="G5404" s="124">
        <v>7.0000000000000001E-3</v>
      </c>
      <c r="H5404" s="125">
        <f>VLOOKUP(D5404,Upah,8,FALSE)</f>
        <v>165000</v>
      </c>
      <c r="I5404" s="126">
        <f>G5404*H5404</f>
        <v>1155</v>
      </c>
    </row>
    <row r="5405" spans="2:10" ht="15.95" customHeight="1" thickBot="1" x14ac:dyDescent="0.3">
      <c r="C5405" s="122"/>
      <c r="D5405" s="117" t="s">
        <v>373</v>
      </c>
      <c r="E5405" s="123" t="s">
        <v>374</v>
      </c>
      <c r="F5405" s="123" t="s">
        <v>368</v>
      </c>
      <c r="G5405" s="124">
        <v>7.0000000000000001E-3</v>
      </c>
      <c r="H5405" s="125">
        <f>VLOOKUP(D5405,Upah,8,FALSE)</f>
        <v>170000</v>
      </c>
      <c r="I5405" s="126">
        <f>G5405*H5405</f>
        <v>1190</v>
      </c>
    </row>
    <row r="5406" spans="2:10" ht="15.95" customHeight="1" thickBot="1" x14ac:dyDescent="0.3">
      <c r="C5406" s="132"/>
      <c r="D5406" s="133"/>
      <c r="E5406" s="134"/>
      <c r="F5406" s="134"/>
      <c r="G5406" s="135" t="s">
        <v>375</v>
      </c>
      <c r="H5406" s="136"/>
      <c r="I5406" s="137">
        <f>SUM(I5402:I5405)</f>
        <v>30345</v>
      </c>
    </row>
    <row r="5407" spans="2:10" ht="15.95" customHeight="1" x14ac:dyDescent="0.25">
      <c r="C5407" s="116" t="s">
        <v>376</v>
      </c>
      <c r="D5407" s="117" t="s">
        <v>377</v>
      </c>
      <c r="E5407" s="118"/>
      <c r="F5407" s="118"/>
      <c r="G5407" s="165"/>
      <c r="H5407" s="144"/>
      <c r="I5407" s="126"/>
    </row>
    <row r="5408" spans="2:10" ht="15.95" customHeight="1" x14ac:dyDescent="0.25">
      <c r="C5408" s="122"/>
      <c r="D5408" s="117" t="s">
        <v>1218</v>
      </c>
      <c r="E5408" s="118"/>
      <c r="F5408" s="123" t="s">
        <v>399</v>
      </c>
      <c r="G5408" s="124">
        <v>0.51</v>
      </c>
      <c r="H5408" s="144">
        <f>VLOOKUP(D5408,Bahan,6,FALSE)</f>
        <v>131610</v>
      </c>
      <c r="I5408" s="126">
        <f>G5408*H5408</f>
        <v>67121.100000000006</v>
      </c>
    </row>
    <row r="5409" spans="2:10" ht="15.95" customHeight="1" thickBot="1" x14ac:dyDescent="0.3">
      <c r="C5409" s="122"/>
      <c r="D5409" s="117" t="s">
        <v>1219</v>
      </c>
      <c r="E5409" s="118"/>
      <c r="F5409" s="123" t="s">
        <v>159</v>
      </c>
      <c r="G5409" s="124">
        <v>0.12</v>
      </c>
      <c r="H5409" s="144">
        <f>VLOOKUP(D5409,Bahan,6,FALSE)</f>
        <v>14760</v>
      </c>
      <c r="I5409" s="126">
        <f>G5409*H5409</f>
        <v>1771.2</v>
      </c>
    </row>
    <row r="5410" spans="2:10" ht="15.95" customHeight="1" thickBot="1" x14ac:dyDescent="0.3">
      <c r="C5410" s="132"/>
      <c r="D5410" s="133"/>
      <c r="E5410" s="134"/>
      <c r="F5410" s="134"/>
      <c r="G5410" s="135" t="s">
        <v>386</v>
      </c>
      <c r="H5410" s="136"/>
      <c r="I5410" s="137">
        <f>SUM(I5408:I5409)</f>
        <v>68892.3</v>
      </c>
    </row>
    <row r="5411" spans="2:10" ht="15.95" customHeight="1" thickBot="1" x14ac:dyDescent="0.3">
      <c r="C5411" s="116" t="s">
        <v>387</v>
      </c>
      <c r="D5411" s="117" t="s">
        <v>388</v>
      </c>
      <c r="E5411" s="118"/>
      <c r="F5411" s="118"/>
      <c r="G5411" s="165"/>
      <c r="H5411" s="144">
        <f>IF(AND(D5411&lt;&gt;"",F5411&lt;&gt;""),IF(C5411="",IF(F5411="OH",VLOOKUP(D5411,[1]UPAH!$B$3:$G$32,7,0),VLOOKUP(D5411,[1]BAHAN!$A$2:$D$3,4,0)),0),0)</f>
        <v>0</v>
      </c>
      <c r="I5411" s="126">
        <f>G5411*H5411</f>
        <v>0</v>
      </c>
    </row>
    <row r="5412" spans="2:10" ht="15.95" customHeight="1" thickBot="1" x14ac:dyDescent="0.3">
      <c r="C5412" s="132"/>
      <c r="D5412" s="133"/>
      <c r="E5412" s="134"/>
      <c r="F5412" s="134"/>
      <c r="G5412" s="135" t="s">
        <v>389</v>
      </c>
      <c r="H5412" s="136"/>
      <c r="I5412" s="137">
        <f>I5411</f>
        <v>0</v>
      </c>
    </row>
    <row r="5413" spans="2:10" ht="15.95" customHeight="1" x14ac:dyDescent="0.25">
      <c r="C5413" s="158" t="s">
        <v>390</v>
      </c>
      <c r="D5413" s="159" t="s">
        <v>391</v>
      </c>
      <c r="E5413" s="160"/>
      <c r="F5413" s="160"/>
      <c r="G5413" s="161"/>
      <c r="H5413" s="162">
        <f>IF(AND(D5413&lt;&gt;"",F5413&lt;&gt;""),IF(C5413="",IF(F5413="OH",VLOOKUP(D5413,[1]UPAH!$B$3:$G$32,7,0),VLOOKUP(D5413,[1]BAHAN!$A$2:$D$3,4,0)),0),0)</f>
        <v>0</v>
      </c>
      <c r="I5413" s="126">
        <f>SUM(I5402:I5412)/2</f>
        <v>99237.3</v>
      </c>
    </row>
    <row r="5414" spans="2:10" ht="15.95" customHeight="1" thickBot="1" x14ac:dyDescent="0.3">
      <c r="C5414" s="147" t="s">
        <v>392</v>
      </c>
      <c r="D5414" s="148" t="s">
        <v>393</v>
      </c>
      <c r="E5414" s="149"/>
      <c r="F5414" s="149"/>
      <c r="G5414" s="164">
        <v>0.1</v>
      </c>
      <c r="H5414" s="151"/>
      <c r="I5414" s="146">
        <f>G5414*I5413</f>
        <v>9923.7300000000014</v>
      </c>
    </row>
    <row r="5415" spans="2:10" ht="15.95" customHeight="1" thickBot="1" x14ac:dyDescent="0.3">
      <c r="C5415" s="111" t="s">
        <v>394</v>
      </c>
      <c r="D5415" s="112" t="s">
        <v>395</v>
      </c>
      <c r="E5415" s="134"/>
      <c r="F5415" s="134"/>
      <c r="G5415" s="156"/>
      <c r="H5415" s="136">
        <f>IF(AND(D5415&lt;&gt;"",F5415&lt;&gt;""),IF(C5415="",IF(F5415="OH",VLOOKUP(D5415,[1]UPAH!$B$3:$G$32,7,0),VLOOKUP(D5415,[1]BAHAN!$A$2:$D$3,4,0)),0),0)</f>
        <v>0</v>
      </c>
      <c r="I5415" s="137">
        <f>ROUNDDOWN(I5413+I5414,0)</f>
        <v>109161</v>
      </c>
    </row>
    <row r="5416" spans="2:10" ht="15.95" customHeight="1" x14ac:dyDescent="0.25">
      <c r="C5416" s="109"/>
      <c r="D5416" s="109"/>
      <c r="G5416" s="157"/>
    </row>
    <row r="5417" spans="2:10" ht="15.95" customHeight="1" thickBot="1" x14ac:dyDescent="0.3">
      <c r="B5417" s="109" t="s">
        <v>1234</v>
      </c>
      <c r="C5417" s="104" t="s">
        <v>1235</v>
      </c>
      <c r="G5417" s="157"/>
      <c r="J5417" s="110">
        <f>I5433</f>
        <v>151144</v>
      </c>
    </row>
    <row r="5418" spans="2:10" ht="15.95" customHeight="1" thickBot="1" x14ac:dyDescent="0.3">
      <c r="C5418" s="111" t="s">
        <v>328</v>
      </c>
      <c r="D5418" s="112" t="s">
        <v>359</v>
      </c>
      <c r="E5418" s="113" t="s">
        <v>360</v>
      </c>
      <c r="F5418" s="113" t="s">
        <v>330</v>
      </c>
      <c r="G5418" s="114" t="s">
        <v>361</v>
      </c>
      <c r="H5418" s="112" t="s">
        <v>362</v>
      </c>
      <c r="I5418" s="115" t="s">
        <v>363</v>
      </c>
    </row>
    <row r="5419" spans="2:10" ht="15.95" customHeight="1" x14ac:dyDescent="0.25">
      <c r="C5419" s="116" t="s">
        <v>364</v>
      </c>
      <c r="D5419" s="117" t="s">
        <v>365</v>
      </c>
      <c r="E5419" s="118"/>
      <c r="F5419" s="118"/>
      <c r="G5419" s="165"/>
      <c r="H5419" s="144"/>
      <c r="I5419" s="126"/>
    </row>
    <row r="5420" spans="2:10" ht="15.95" customHeight="1" x14ac:dyDescent="0.25">
      <c r="C5420" s="122"/>
      <c r="D5420" s="117" t="s">
        <v>366</v>
      </c>
      <c r="E5420" s="123" t="s">
        <v>367</v>
      </c>
      <c r="F5420" s="123" t="s">
        <v>368</v>
      </c>
      <c r="G5420" s="124">
        <v>0.14000000000000001</v>
      </c>
      <c r="H5420" s="125">
        <f>VLOOKUP(D5420,Upah,8,FALSE)</f>
        <v>125000</v>
      </c>
      <c r="I5420" s="126">
        <f>G5420*H5420</f>
        <v>17500</v>
      </c>
    </row>
    <row r="5421" spans="2:10" ht="15.95" customHeight="1" x14ac:dyDescent="0.25">
      <c r="C5421" s="122"/>
      <c r="D5421" s="117" t="s">
        <v>369</v>
      </c>
      <c r="E5421" s="123" t="s">
        <v>370</v>
      </c>
      <c r="F5421" s="123" t="s">
        <v>368</v>
      </c>
      <c r="G5421" s="124">
        <v>7.0000000000000007E-2</v>
      </c>
      <c r="H5421" s="125">
        <f>VLOOKUP(D5421,Upah,8,FALSE)</f>
        <v>150000</v>
      </c>
      <c r="I5421" s="126">
        <f>G5421*H5421</f>
        <v>10500.000000000002</v>
      </c>
    </row>
    <row r="5422" spans="2:10" ht="15.95" customHeight="1" x14ac:dyDescent="0.25">
      <c r="C5422" s="122"/>
      <c r="D5422" s="117" t="s">
        <v>429</v>
      </c>
      <c r="E5422" s="123" t="s">
        <v>372</v>
      </c>
      <c r="F5422" s="123" t="s">
        <v>368</v>
      </c>
      <c r="G5422" s="124">
        <v>7.0000000000000001E-3</v>
      </c>
      <c r="H5422" s="125">
        <f>VLOOKUP(D5422,Upah,8,FALSE)</f>
        <v>165000</v>
      </c>
      <c r="I5422" s="126">
        <f>G5422*H5422</f>
        <v>1155</v>
      </c>
    </row>
    <row r="5423" spans="2:10" ht="15.95" customHeight="1" thickBot="1" x14ac:dyDescent="0.3">
      <c r="C5423" s="122"/>
      <c r="D5423" s="117" t="s">
        <v>373</v>
      </c>
      <c r="E5423" s="123" t="s">
        <v>374</v>
      </c>
      <c r="F5423" s="123" t="s">
        <v>368</v>
      </c>
      <c r="G5423" s="124">
        <v>7.0000000000000001E-3</v>
      </c>
      <c r="H5423" s="125">
        <f>VLOOKUP(D5423,Upah,8,FALSE)</f>
        <v>170000</v>
      </c>
      <c r="I5423" s="126">
        <f>G5423*H5423</f>
        <v>1190</v>
      </c>
    </row>
    <row r="5424" spans="2:10" ht="15.95" customHeight="1" thickBot="1" x14ac:dyDescent="0.3">
      <c r="C5424" s="132"/>
      <c r="D5424" s="133"/>
      <c r="E5424" s="134"/>
      <c r="F5424" s="134"/>
      <c r="G5424" s="135" t="s">
        <v>375</v>
      </c>
      <c r="H5424" s="136"/>
      <c r="I5424" s="137">
        <f>SUM(I5420:I5423)</f>
        <v>30345</v>
      </c>
    </row>
    <row r="5425" spans="2:10" ht="15.95" customHeight="1" x14ac:dyDescent="0.25">
      <c r="C5425" s="116" t="s">
        <v>376</v>
      </c>
      <c r="D5425" s="117" t="s">
        <v>377</v>
      </c>
      <c r="E5425" s="118"/>
      <c r="F5425" s="118"/>
      <c r="G5425" s="165"/>
      <c r="H5425" s="144"/>
      <c r="I5425" s="126"/>
    </row>
    <row r="5426" spans="2:10" ht="15.95" customHeight="1" x14ac:dyDescent="0.25">
      <c r="C5426" s="122"/>
      <c r="D5426" s="117" t="s">
        <v>1218</v>
      </c>
      <c r="E5426" s="118"/>
      <c r="F5426" s="123" t="s">
        <v>399</v>
      </c>
      <c r="G5426" s="124">
        <v>0.8</v>
      </c>
      <c r="H5426" s="144">
        <f>VLOOKUP(D5426,Bahan,6,FALSE)</f>
        <v>131610</v>
      </c>
      <c r="I5426" s="126">
        <f>G5426*H5426</f>
        <v>105288</v>
      </c>
    </row>
    <row r="5427" spans="2:10" ht="15.95" customHeight="1" thickBot="1" x14ac:dyDescent="0.3">
      <c r="C5427" s="122"/>
      <c r="D5427" s="117" t="s">
        <v>1219</v>
      </c>
      <c r="E5427" s="118"/>
      <c r="F5427" s="123" t="s">
        <v>159</v>
      </c>
      <c r="G5427" s="124">
        <v>0.12</v>
      </c>
      <c r="H5427" s="144">
        <f>VLOOKUP(D5427,Bahan,6,FALSE)</f>
        <v>14760</v>
      </c>
      <c r="I5427" s="126">
        <f>G5427*H5427</f>
        <v>1771.2</v>
      </c>
    </row>
    <row r="5428" spans="2:10" ht="15.95" customHeight="1" thickBot="1" x14ac:dyDescent="0.3">
      <c r="C5428" s="132"/>
      <c r="D5428" s="133"/>
      <c r="E5428" s="134"/>
      <c r="F5428" s="134"/>
      <c r="G5428" s="135" t="s">
        <v>386</v>
      </c>
      <c r="H5428" s="136"/>
      <c r="I5428" s="137">
        <f>SUM(I5426:I5427)</f>
        <v>107059.2</v>
      </c>
    </row>
    <row r="5429" spans="2:10" ht="15.95" customHeight="1" thickBot="1" x14ac:dyDescent="0.3">
      <c r="C5429" s="116" t="s">
        <v>387</v>
      </c>
      <c r="D5429" s="117" t="s">
        <v>388</v>
      </c>
      <c r="E5429" s="118"/>
      <c r="F5429" s="118"/>
      <c r="G5429" s="165"/>
      <c r="H5429" s="144">
        <f>IF(AND(D5429&lt;&gt;"",F5429&lt;&gt;""),IF(C5429="",IF(F5429="OH",VLOOKUP(D5429,[1]UPAH!$B$3:$G$32,7,0),VLOOKUP(D5429,[1]BAHAN!$A$2:$D$3,4,0)),0),0)</f>
        <v>0</v>
      </c>
      <c r="I5429" s="126">
        <f>G5429*H5429</f>
        <v>0</v>
      </c>
    </row>
    <row r="5430" spans="2:10" ht="15.95" customHeight="1" thickBot="1" x14ac:dyDescent="0.3">
      <c r="C5430" s="132"/>
      <c r="D5430" s="133"/>
      <c r="E5430" s="134"/>
      <c r="F5430" s="134"/>
      <c r="G5430" s="135" t="s">
        <v>389</v>
      </c>
      <c r="H5430" s="136"/>
      <c r="I5430" s="137">
        <f>I5429</f>
        <v>0</v>
      </c>
    </row>
    <row r="5431" spans="2:10" ht="15.95" customHeight="1" x14ac:dyDescent="0.25">
      <c r="C5431" s="158" t="s">
        <v>390</v>
      </c>
      <c r="D5431" s="159" t="s">
        <v>391</v>
      </c>
      <c r="E5431" s="160"/>
      <c r="F5431" s="160"/>
      <c r="G5431" s="161"/>
      <c r="H5431" s="162">
        <f>IF(AND(D5431&lt;&gt;"",F5431&lt;&gt;""),IF(C5431="",IF(F5431="OH",VLOOKUP(D5431,[1]UPAH!$B$3:$G$32,7,0),VLOOKUP(D5431,[1]BAHAN!$A$2:$D$3,4,0)),0),0)</f>
        <v>0</v>
      </c>
      <c r="I5431" s="126">
        <f>SUM(I5420:I5430)/2</f>
        <v>137404.20000000001</v>
      </c>
    </row>
    <row r="5432" spans="2:10" ht="15.95" customHeight="1" thickBot="1" x14ac:dyDescent="0.3">
      <c r="C5432" s="147" t="s">
        <v>392</v>
      </c>
      <c r="D5432" s="148" t="s">
        <v>393</v>
      </c>
      <c r="E5432" s="149"/>
      <c r="F5432" s="149"/>
      <c r="G5432" s="164">
        <v>0.1</v>
      </c>
      <c r="H5432" s="151"/>
      <c r="I5432" s="146">
        <f>G5432*I5431</f>
        <v>13740.420000000002</v>
      </c>
    </row>
    <row r="5433" spans="2:10" ht="15.95" customHeight="1" thickBot="1" x14ac:dyDescent="0.3">
      <c r="C5433" s="111" t="s">
        <v>394</v>
      </c>
      <c r="D5433" s="112" t="s">
        <v>395</v>
      </c>
      <c r="E5433" s="134"/>
      <c r="F5433" s="134"/>
      <c r="G5433" s="156"/>
      <c r="H5433" s="136">
        <f>IF(AND(D5433&lt;&gt;"",F5433&lt;&gt;""),IF(C5433="",IF(F5433="OH",VLOOKUP(D5433,[1]UPAH!$B$3:$G$32,7,0),VLOOKUP(D5433,[1]BAHAN!$A$2:$D$3,4,0)),0),0)</f>
        <v>0</v>
      </c>
      <c r="I5433" s="137">
        <f>ROUNDDOWN(I5431+I5432,0)</f>
        <v>151144</v>
      </c>
    </row>
    <row r="5434" spans="2:10" ht="15.95" customHeight="1" x14ac:dyDescent="0.25">
      <c r="C5434" s="109"/>
      <c r="D5434" s="109"/>
      <c r="G5434" s="157"/>
    </row>
    <row r="5435" spans="2:10" ht="15.95" customHeight="1" thickBot="1" x14ac:dyDescent="0.3">
      <c r="B5435" s="109" t="s">
        <v>1236</v>
      </c>
      <c r="C5435" s="104" t="s">
        <v>1237</v>
      </c>
      <c r="G5435" s="157"/>
      <c r="J5435" s="110">
        <f>I5451</f>
        <v>88893</v>
      </c>
    </row>
    <row r="5436" spans="2:10" ht="15.95" customHeight="1" thickBot="1" x14ac:dyDescent="0.3">
      <c r="C5436" s="111" t="s">
        <v>328</v>
      </c>
      <c r="D5436" s="112" t="s">
        <v>359</v>
      </c>
      <c r="E5436" s="113" t="s">
        <v>360</v>
      </c>
      <c r="F5436" s="113" t="s">
        <v>330</v>
      </c>
      <c r="G5436" s="114" t="s">
        <v>361</v>
      </c>
      <c r="H5436" s="112" t="s">
        <v>362</v>
      </c>
      <c r="I5436" s="115" t="s">
        <v>363</v>
      </c>
    </row>
    <row r="5437" spans="2:10" ht="15.95" customHeight="1" x14ac:dyDescent="0.25">
      <c r="C5437" s="116" t="s">
        <v>364</v>
      </c>
      <c r="D5437" s="117" t="s">
        <v>365</v>
      </c>
      <c r="E5437" s="118"/>
      <c r="F5437" s="118"/>
      <c r="G5437" s="165"/>
      <c r="H5437" s="144"/>
      <c r="I5437" s="126"/>
    </row>
    <row r="5438" spans="2:10" ht="15.95" customHeight="1" x14ac:dyDescent="0.25">
      <c r="C5438" s="122"/>
      <c r="D5438" s="117" t="s">
        <v>366</v>
      </c>
      <c r="E5438" s="123" t="s">
        <v>367</v>
      </c>
      <c r="F5438" s="123" t="s">
        <v>368</v>
      </c>
      <c r="G5438" s="124">
        <v>0.14000000000000001</v>
      </c>
      <c r="H5438" s="125">
        <f>VLOOKUP(D5438,Upah,8,FALSE)</f>
        <v>125000</v>
      </c>
      <c r="I5438" s="126">
        <f>G5438*H5438</f>
        <v>17500</v>
      </c>
    </row>
    <row r="5439" spans="2:10" ht="15.95" customHeight="1" x14ac:dyDescent="0.25">
      <c r="C5439" s="122"/>
      <c r="D5439" s="117" t="s">
        <v>369</v>
      </c>
      <c r="E5439" s="123" t="s">
        <v>370</v>
      </c>
      <c r="F5439" s="123" t="s">
        <v>368</v>
      </c>
      <c r="G5439" s="124">
        <v>7.0000000000000007E-2</v>
      </c>
      <c r="H5439" s="125">
        <f>VLOOKUP(D5439,Upah,8,FALSE)</f>
        <v>150000</v>
      </c>
      <c r="I5439" s="126">
        <f>G5439*H5439</f>
        <v>10500.000000000002</v>
      </c>
    </row>
    <row r="5440" spans="2:10" ht="15.95" customHeight="1" x14ac:dyDescent="0.25">
      <c r="C5440" s="122"/>
      <c r="D5440" s="117" t="s">
        <v>429</v>
      </c>
      <c r="E5440" s="123" t="s">
        <v>372</v>
      </c>
      <c r="F5440" s="123" t="s">
        <v>368</v>
      </c>
      <c r="G5440" s="124">
        <v>7.0000000000000001E-3</v>
      </c>
      <c r="H5440" s="125">
        <f>VLOOKUP(D5440,Upah,8,FALSE)</f>
        <v>165000</v>
      </c>
      <c r="I5440" s="126">
        <f>G5440*H5440</f>
        <v>1155</v>
      </c>
    </row>
    <row r="5441" spans="2:10" ht="15.95" customHeight="1" thickBot="1" x14ac:dyDescent="0.3">
      <c r="C5441" s="122"/>
      <c r="D5441" s="117" t="s">
        <v>373</v>
      </c>
      <c r="E5441" s="123" t="s">
        <v>374</v>
      </c>
      <c r="F5441" s="123" t="s">
        <v>368</v>
      </c>
      <c r="G5441" s="124">
        <v>7.0000000000000001E-3</v>
      </c>
      <c r="H5441" s="125">
        <f>VLOOKUP(D5441,Upah,8,FALSE)</f>
        <v>170000</v>
      </c>
      <c r="I5441" s="126">
        <f>G5441*H5441</f>
        <v>1190</v>
      </c>
    </row>
    <row r="5442" spans="2:10" ht="15.95" customHeight="1" thickBot="1" x14ac:dyDescent="0.3">
      <c r="C5442" s="132"/>
      <c r="D5442" s="133"/>
      <c r="E5442" s="134"/>
      <c r="F5442" s="134"/>
      <c r="G5442" s="135" t="s">
        <v>375</v>
      </c>
      <c r="H5442" s="136"/>
      <c r="I5442" s="137">
        <f>SUM(I5438:I5441)</f>
        <v>30345</v>
      </c>
    </row>
    <row r="5443" spans="2:10" ht="15.95" customHeight="1" x14ac:dyDescent="0.25">
      <c r="C5443" s="116" t="s">
        <v>376</v>
      </c>
      <c r="D5443" s="117" t="s">
        <v>377</v>
      </c>
      <c r="E5443" s="118"/>
      <c r="F5443" s="118"/>
      <c r="G5443" s="165"/>
      <c r="H5443" s="144"/>
      <c r="I5443" s="126"/>
    </row>
    <row r="5444" spans="2:10" ht="15.95" customHeight="1" x14ac:dyDescent="0.25">
      <c r="C5444" s="122"/>
      <c r="D5444" s="117" t="s">
        <v>1218</v>
      </c>
      <c r="E5444" s="118"/>
      <c r="F5444" s="123" t="s">
        <v>399</v>
      </c>
      <c r="G5444" s="124">
        <v>0.37</v>
      </c>
      <c r="H5444" s="144">
        <f>VLOOKUP(D5444,Bahan,6,FALSE)</f>
        <v>131610</v>
      </c>
      <c r="I5444" s="126">
        <f>G5444*H5444</f>
        <v>48695.7</v>
      </c>
    </row>
    <row r="5445" spans="2:10" ht="15.95" customHeight="1" thickBot="1" x14ac:dyDescent="0.3">
      <c r="C5445" s="122"/>
      <c r="D5445" s="117" t="s">
        <v>1219</v>
      </c>
      <c r="E5445" s="118"/>
      <c r="F5445" s="123" t="s">
        <v>159</v>
      </c>
      <c r="G5445" s="124">
        <v>0.12</v>
      </c>
      <c r="H5445" s="144">
        <f>VLOOKUP(D5445,Bahan,6,FALSE)</f>
        <v>14760</v>
      </c>
      <c r="I5445" s="126">
        <f>G5445*H5445</f>
        <v>1771.2</v>
      </c>
    </row>
    <row r="5446" spans="2:10" ht="15.95" customHeight="1" thickBot="1" x14ac:dyDescent="0.3">
      <c r="C5446" s="132"/>
      <c r="D5446" s="133"/>
      <c r="E5446" s="134"/>
      <c r="F5446" s="134"/>
      <c r="G5446" s="135" t="s">
        <v>386</v>
      </c>
      <c r="H5446" s="136"/>
      <c r="I5446" s="137">
        <f>SUM(I5444:I5445)</f>
        <v>50466.899999999994</v>
      </c>
    </row>
    <row r="5447" spans="2:10" ht="15.95" customHeight="1" thickBot="1" x14ac:dyDescent="0.3">
      <c r="C5447" s="116" t="s">
        <v>387</v>
      </c>
      <c r="D5447" s="117" t="s">
        <v>388</v>
      </c>
      <c r="E5447" s="118"/>
      <c r="F5447" s="118"/>
      <c r="G5447" s="165"/>
      <c r="H5447" s="144">
        <f>IF(AND(D5447&lt;&gt;"",F5447&lt;&gt;""),IF(C5447="",IF(F5447="OH",VLOOKUP(D5447,[1]UPAH!$B$3:$G$32,7,0),VLOOKUP(D5447,[1]BAHAN!$A$2:$D$3,4,0)),0),0)</f>
        <v>0</v>
      </c>
      <c r="I5447" s="126">
        <f>G5447*H5447</f>
        <v>0</v>
      </c>
    </row>
    <row r="5448" spans="2:10" ht="15.95" customHeight="1" thickBot="1" x14ac:dyDescent="0.3">
      <c r="C5448" s="132"/>
      <c r="D5448" s="133"/>
      <c r="E5448" s="134"/>
      <c r="F5448" s="134"/>
      <c r="G5448" s="135" t="s">
        <v>389</v>
      </c>
      <c r="H5448" s="136"/>
      <c r="I5448" s="137">
        <f>I5447</f>
        <v>0</v>
      </c>
    </row>
    <row r="5449" spans="2:10" ht="15.95" customHeight="1" x14ac:dyDescent="0.25">
      <c r="C5449" s="158" t="s">
        <v>390</v>
      </c>
      <c r="D5449" s="159" t="s">
        <v>391</v>
      </c>
      <c r="E5449" s="160"/>
      <c r="F5449" s="160"/>
      <c r="G5449" s="161"/>
      <c r="H5449" s="162">
        <f>IF(AND(D5449&lt;&gt;"",F5449&lt;&gt;""),IF(C5449="",IF(F5449="OH",VLOOKUP(D5449,[1]UPAH!$B$3:$G$32,7,0),VLOOKUP(D5449,[1]BAHAN!$A$2:$D$3,4,0)),0),0)</f>
        <v>0</v>
      </c>
      <c r="I5449" s="126">
        <f>SUM(I5438:I5448)/2</f>
        <v>80811.899999999994</v>
      </c>
    </row>
    <row r="5450" spans="2:10" ht="15.95" customHeight="1" thickBot="1" x14ac:dyDescent="0.3">
      <c r="C5450" s="147" t="s">
        <v>392</v>
      </c>
      <c r="D5450" s="148" t="s">
        <v>393</v>
      </c>
      <c r="E5450" s="149"/>
      <c r="F5450" s="149"/>
      <c r="G5450" s="164">
        <v>0.1</v>
      </c>
      <c r="H5450" s="151"/>
      <c r="I5450" s="146">
        <f>G5450*I5449</f>
        <v>8081.19</v>
      </c>
    </row>
    <row r="5451" spans="2:10" ht="15.95" customHeight="1" thickBot="1" x14ac:dyDescent="0.3">
      <c r="C5451" s="111" t="s">
        <v>394</v>
      </c>
      <c r="D5451" s="112" t="s">
        <v>395</v>
      </c>
      <c r="E5451" s="134"/>
      <c r="F5451" s="134"/>
      <c r="G5451" s="156"/>
      <c r="H5451" s="136">
        <f>IF(AND(D5451&lt;&gt;"",F5451&lt;&gt;""),IF(C5451="",IF(F5451="OH",VLOOKUP(D5451,[1]UPAH!$B$3:$G$32,7,0),VLOOKUP(D5451,[1]BAHAN!$A$2:$D$3,4,0)),0),0)</f>
        <v>0</v>
      </c>
      <c r="I5451" s="137">
        <f>ROUNDDOWN(I5449+I5450,0)</f>
        <v>88893</v>
      </c>
    </row>
    <row r="5452" spans="2:10" ht="15.95" customHeight="1" x14ac:dyDescent="0.25">
      <c r="C5452" s="109"/>
      <c r="D5452" s="109"/>
      <c r="G5452" s="157"/>
    </row>
    <row r="5453" spans="2:10" ht="15.95" customHeight="1" thickBot="1" x14ac:dyDescent="0.3">
      <c r="B5453" s="109" t="s">
        <v>1238</v>
      </c>
      <c r="C5453" s="104" t="s">
        <v>1239</v>
      </c>
      <c r="G5453" s="157"/>
      <c r="J5453" s="110">
        <f>I5469</f>
        <v>90340</v>
      </c>
    </row>
    <row r="5454" spans="2:10" ht="15.95" customHeight="1" thickBot="1" x14ac:dyDescent="0.3">
      <c r="C5454" s="111" t="s">
        <v>328</v>
      </c>
      <c r="D5454" s="112" t="s">
        <v>359</v>
      </c>
      <c r="E5454" s="113" t="s">
        <v>360</v>
      </c>
      <c r="F5454" s="113" t="s">
        <v>330</v>
      </c>
      <c r="G5454" s="114" t="s">
        <v>361</v>
      </c>
      <c r="H5454" s="112" t="s">
        <v>362</v>
      </c>
      <c r="I5454" s="115" t="s">
        <v>363</v>
      </c>
    </row>
    <row r="5455" spans="2:10" ht="15.95" customHeight="1" x14ac:dyDescent="0.25">
      <c r="C5455" s="116" t="s">
        <v>364</v>
      </c>
      <c r="D5455" s="117" t="s">
        <v>365</v>
      </c>
      <c r="E5455" s="118"/>
      <c r="F5455" s="118"/>
      <c r="G5455" s="165"/>
      <c r="H5455" s="144"/>
      <c r="I5455" s="126"/>
    </row>
    <row r="5456" spans="2:10" ht="15.95" customHeight="1" x14ac:dyDescent="0.25">
      <c r="C5456" s="122"/>
      <c r="D5456" s="117" t="s">
        <v>366</v>
      </c>
      <c r="E5456" s="123" t="s">
        <v>367</v>
      </c>
      <c r="F5456" s="123" t="s">
        <v>368</v>
      </c>
      <c r="G5456" s="124">
        <v>0.14000000000000001</v>
      </c>
      <c r="H5456" s="125">
        <f>VLOOKUP(D5456,Upah,8,FALSE)</f>
        <v>125000</v>
      </c>
      <c r="I5456" s="126">
        <f>G5456*H5456</f>
        <v>17500</v>
      </c>
    </row>
    <row r="5457" spans="2:10" ht="15.95" customHeight="1" x14ac:dyDescent="0.25">
      <c r="C5457" s="122"/>
      <c r="D5457" s="117" t="s">
        <v>369</v>
      </c>
      <c r="E5457" s="123" t="s">
        <v>370</v>
      </c>
      <c r="F5457" s="123" t="s">
        <v>368</v>
      </c>
      <c r="G5457" s="124">
        <v>7.0000000000000007E-2</v>
      </c>
      <c r="H5457" s="125">
        <f>VLOOKUP(D5457,Upah,8,FALSE)</f>
        <v>150000</v>
      </c>
      <c r="I5457" s="126">
        <f>G5457*H5457</f>
        <v>10500.000000000002</v>
      </c>
    </row>
    <row r="5458" spans="2:10" ht="15.95" customHeight="1" x14ac:dyDescent="0.25">
      <c r="C5458" s="122"/>
      <c r="D5458" s="117" t="s">
        <v>429</v>
      </c>
      <c r="E5458" s="123" t="s">
        <v>372</v>
      </c>
      <c r="F5458" s="123" t="s">
        <v>368</v>
      </c>
      <c r="G5458" s="124">
        <v>7.0000000000000001E-3</v>
      </c>
      <c r="H5458" s="125">
        <f>VLOOKUP(D5458,Upah,8,FALSE)</f>
        <v>165000</v>
      </c>
      <c r="I5458" s="126">
        <f>G5458*H5458</f>
        <v>1155</v>
      </c>
    </row>
    <row r="5459" spans="2:10" ht="15.95" customHeight="1" thickBot="1" x14ac:dyDescent="0.3">
      <c r="C5459" s="122"/>
      <c r="D5459" s="117" t="s">
        <v>373</v>
      </c>
      <c r="E5459" s="123" t="s">
        <v>374</v>
      </c>
      <c r="F5459" s="123" t="s">
        <v>368</v>
      </c>
      <c r="G5459" s="124">
        <v>7.0000000000000001E-3</v>
      </c>
      <c r="H5459" s="125">
        <f>VLOOKUP(D5459,Upah,8,FALSE)</f>
        <v>170000</v>
      </c>
      <c r="I5459" s="126">
        <f>G5459*H5459</f>
        <v>1190</v>
      </c>
    </row>
    <row r="5460" spans="2:10" ht="15.95" customHeight="1" thickBot="1" x14ac:dyDescent="0.3">
      <c r="C5460" s="132"/>
      <c r="D5460" s="133"/>
      <c r="E5460" s="134"/>
      <c r="F5460" s="134"/>
      <c r="G5460" s="135" t="s">
        <v>375</v>
      </c>
      <c r="H5460" s="136"/>
      <c r="I5460" s="137">
        <f>SUM(I5456:I5459)</f>
        <v>30345</v>
      </c>
    </row>
    <row r="5461" spans="2:10" ht="15.95" customHeight="1" x14ac:dyDescent="0.25">
      <c r="C5461" s="116" t="s">
        <v>376</v>
      </c>
      <c r="D5461" s="117" t="s">
        <v>377</v>
      </c>
      <c r="E5461" s="118"/>
      <c r="F5461" s="118"/>
      <c r="G5461" s="165"/>
      <c r="H5461" s="144"/>
      <c r="I5461" s="126"/>
    </row>
    <row r="5462" spans="2:10" ht="15.95" customHeight="1" x14ac:dyDescent="0.25">
      <c r="C5462" s="122"/>
      <c r="D5462" s="117" t="s">
        <v>1218</v>
      </c>
      <c r="E5462" s="118"/>
      <c r="F5462" s="123" t="s">
        <v>399</v>
      </c>
      <c r="G5462" s="124">
        <v>0.38</v>
      </c>
      <c r="H5462" s="144">
        <f>VLOOKUP(D5462,Bahan,6,FALSE)</f>
        <v>131610</v>
      </c>
      <c r="I5462" s="126">
        <f>G5462*H5462</f>
        <v>50011.8</v>
      </c>
    </row>
    <row r="5463" spans="2:10" ht="15.95" customHeight="1" thickBot="1" x14ac:dyDescent="0.3">
      <c r="C5463" s="122"/>
      <c r="D5463" s="117" t="s">
        <v>1219</v>
      </c>
      <c r="E5463" s="118"/>
      <c r="F5463" s="123" t="s">
        <v>159</v>
      </c>
      <c r="G5463" s="124">
        <v>0.12</v>
      </c>
      <c r="H5463" s="144">
        <f>VLOOKUP(D5463,Bahan,6,FALSE)</f>
        <v>14760</v>
      </c>
      <c r="I5463" s="126">
        <f>G5463*H5463</f>
        <v>1771.2</v>
      </c>
    </row>
    <row r="5464" spans="2:10" ht="15.95" customHeight="1" thickBot="1" x14ac:dyDescent="0.3">
      <c r="C5464" s="132"/>
      <c r="D5464" s="133"/>
      <c r="E5464" s="134"/>
      <c r="F5464" s="134"/>
      <c r="G5464" s="135" t="s">
        <v>386</v>
      </c>
      <c r="H5464" s="136"/>
      <c r="I5464" s="137">
        <f>SUM(I5462:I5463)</f>
        <v>51783</v>
      </c>
    </row>
    <row r="5465" spans="2:10" ht="15.95" customHeight="1" thickBot="1" x14ac:dyDescent="0.3">
      <c r="C5465" s="116" t="s">
        <v>387</v>
      </c>
      <c r="D5465" s="117" t="s">
        <v>388</v>
      </c>
      <c r="E5465" s="118"/>
      <c r="F5465" s="118"/>
      <c r="G5465" s="165"/>
      <c r="H5465" s="144">
        <f>IF(AND(D5465&lt;&gt;"",F5465&lt;&gt;""),IF(C5465="",IF(F5465="OH",VLOOKUP(D5465,[1]UPAH!$B$3:$G$32,7,0),VLOOKUP(D5465,[1]BAHAN!$A$2:$D$3,4,0)),0),0)</f>
        <v>0</v>
      </c>
      <c r="I5465" s="126">
        <f>G5465*H5465</f>
        <v>0</v>
      </c>
    </row>
    <row r="5466" spans="2:10" ht="15.95" customHeight="1" thickBot="1" x14ac:dyDescent="0.3">
      <c r="C5466" s="132"/>
      <c r="D5466" s="133"/>
      <c r="E5466" s="134"/>
      <c r="F5466" s="134"/>
      <c r="G5466" s="135" t="s">
        <v>389</v>
      </c>
      <c r="H5466" s="136"/>
      <c r="I5466" s="137">
        <f>I5465</f>
        <v>0</v>
      </c>
    </row>
    <row r="5467" spans="2:10" ht="15.95" customHeight="1" x14ac:dyDescent="0.25">
      <c r="C5467" s="158" t="s">
        <v>390</v>
      </c>
      <c r="D5467" s="159" t="s">
        <v>391</v>
      </c>
      <c r="E5467" s="160"/>
      <c r="F5467" s="160"/>
      <c r="G5467" s="161"/>
      <c r="H5467" s="162">
        <f>IF(AND(D5467&lt;&gt;"",F5467&lt;&gt;""),IF(C5467="",IF(F5467="OH",VLOOKUP(D5467,[1]UPAH!$B$3:$G$32,7,0),VLOOKUP(D5467,[1]BAHAN!$A$2:$D$3,4,0)),0),0)</f>
        <v>0</v>
      </c>
      <c r="I5467" s="126">
        <f>SUM(I5456:I5466)/2</f>
        <v>82128</v>
      </c>
    </row>
    <row r="5468" spans="2:10" ht="15.95" customHeight="1" thickBot="1" x14ac:dyDescent="0.3">
      <c r="C5468" s="147" t="s">
        <v>392</v>
      </c>
      <c r="D5468" s="148" t="s">
        <v>393</v>
      </c>
      <c r="E5468" s="149"/>
      <c r="F5468" s="149"/>
      <c r="G5468" s="164">
        <v>0.1</v>
      </c>
      <c r="H5468" s="151"/>
      <c r="I5468" s="146">
        <f>G5468*I5467</f>
        <v>8212.8000000000011</v>
      </c>
    </row>
    <row r="5469" spans="2:10" ht="15.95" customHeight="1" thickBot="1" x14ac:dyDescent="0.3">
      <c r="C5469" s="111" t="s">
        <v>394</v>
      </c>
      <c r="D5469" s="112" t="s">
        <v>395</v>
      </c>
      <c r="E5469" s="134"/>
      <c r="F5469" s="134"/>
      <c r="G5469" s="156"/>
      <c r="H5469" s="136">
        <f>IF(AND(D5469&lt;&gt;"",F5469&lt;&gt;""),IF(C5469="",IF(F5469="OH",VLOOKUP(D5469,[1]UPAH!$B$3:$G$32,7,0),VLOOKUP(D5469,[1]BAHAN!$A$2:$D$3,4,0)),0),0)</f>
        <v>0</v>
      </c>
      <c r="I5469" s="137">
        <f>ROUNDDOWN(I5467+I5468,0)</f>
        <v>90340</v>
      </c>
    </row>
    <row r="5470" spans="2:10" ht="15.95" customHeight="1" x14ac:dyDescent="0.25">
      <c r="C5470" s="109"/>
      <c r="D5470" s="109"/>
      <c r="G5470" s="157"/>
    </row>
    <row r="5471" spans="2:10" ht="15.95" customHeight="1" thickBot="1" x14ac:dyDescent="0.3">
      <c r="B5471" s="109" t="s">
        <v>1240</v>
      </c>
      <c r="C5471" s="104" t="s">
        <v>1241</v>
      </c>
      <c r="G5471" s="157"/>
      <c r="J5471" s="110">
        <f>I5487</f>
        <v>101922</v>
      </c>
    </row>
    <row r="5472" spans="2:10" ht="15.95" customHeight="1" thickBot="1" x14ac:dyDescent="0.3">
      <c r="C5472" s="111" t="s">
        <v>328</v>
      </c>
      <c r="D5472" s="112" t="s">
        <v>359</v>
      </c>
      <c r="E5472" s="113" t="s">
        <v>360</v>
      </c>
      <c r="F5472" s="113" t="s">
        <v>330</v>
      </c>
      <c r="G5472" s="114" t="s">
        <v>361</v>
      </c>
      <c r="H5472" s="112" t="s">
        <v>362</v>
      </c>
      <c r="I5472" s="115" t="s">
        <v>363</v>
      </c>
    </row>
    <row r="5473" spans="3:9" ht="15.95" customHeight="1" x14ac:dyDescent="0.25">
      <c r="C5473" s="116" t="s">
        <v>364</v>
      </c>
      <c r="D5473" s="117" t="s">
        <v>365</v>
      </c>
      <c r="E5473" s="118"/>
      <c r="F5473" s="118"/>
      <c r="G5473" s="165"/>
      <c r="H5473" s="144"/>
      <c r="I5473" s="126"/>
    </row>
    <row r="5474" spans="3:9" ht="15.95" customHeight="1" x14ac:dyDescent="0.25">
      <c r="C5474" s="122"/>
      <c r="D5474" s="117" t="s">
        <v>366</v>
      </c>
      <c r="E5474" s="123" t="s">
        <v>367</v>
      </c>
      <c r="F5474" s="123" t="s">
        <v>368</v>
      </c>
      <c r="G5474" s="124">
        <v>0.14000000000000001</v>
      </c>
      <c r="H5474" s="125">
        <f>VLOOKUP(D5474,Upah,8,FALSE)</f>
        <v>125000</v>
      </c>
      <c r="I5474" s="126">
        <f>G5474*H5474</f>
        <v>17500</v>
      </c>
    </row>
    <row r="5475" spans="3:9" ht="15.95" customHeight="1" x14ac:dyDescent="0.25">
      <c r="C5475" s="122"/>
      <c r="D5475" s="117" t="s">
        <v>369</v>
      </c>
      <c r="E5475" s="123" t="s">
        <v>370</v>
      </c>
      <c r="F5475" s="123" t="s">
        <v>368</v>
      </c>
      <c r="G5475" s="124">
        <v>7.0000000000000007E-2</v>
      </c>
      <c r="H5475" s="125">
        <f>VLOOKUP(D5475,Upah,8,FALSE)</f>
        <v>150000</v>
      </c>
      <c r="I5475" s="126">
        <f>G5475*H5475</f>
        <v>10500.000000000002</v>
      </c>
    </row>
    <row r="5476" spans="3:9" ht="15.95" customHeight="1" x14ac:dyDescent="0.25">
      <c r="C5476" s="122"/>
      <c r="D5476" s="117" t="s">
        <v>429</v>
      </c>
      <c r="E5476" s="123" t="s">
        <v>372</v>
      </c>
      <c r="F5476" s="123" t="s">
        <v>368</v>
      </c>
      <c r="G5476" s="124">
        <v>7.0000000000000001E-3</v>
      </c>
      <c r="H5476" s="125">
        <f>VLOOKUP(D5476,Upah,8,FALSE)</f>
        <v>165000</v>
      </c>
      <c r="I5476" s="126">
        <f>G5476*H5476</f>
        <v>1155</v>
      </c>
    </row>
    <row r="5477" spans="3:9" ht="15.95" customHeight="1" thickBot="1" x14ac:dyDescent="0.3">
      <c r="C5477" s="122"/>
      <c r="D5477" s="117" t="s">
        <v>373</v>
      </c>
      <c r="E5477" s="123" t="s">
        <v>374</v>
      </c>
      <c r="F5477" s="123" t="s">
        <v>368</v>
      </c>
      <c r="G5477" s="124">
        <v>7.0000000000000001E-3</v>
      </c>
      <c r="H5477" s="125">
        <f>VLOOKUP(D5477,Upah,8,FALSE)</f>
        <v>170000</v>
      </c>
      <c r="I5477" s="126">
        <f>G5477*H5477</f>
        <v>1190</v>
      </c>
    </row>
    <row r="5478" spans="3:9" ht="15.95" customHeight="1" thickBot="1" x14ac:dyDescent="0.3">
      <c r="C5478" s="132"/>
      <c r="D5478" s="133"/>
      <c r="E5478" s="134"/>
      <c r="F5478" s="134"/>
      <c r="G5478" s="135" t="s">
        <v>375</v>
      </c>
      <c r="H5478" s="136"/>
      <c r="I5478" s="137">
        <f>SUM(I5474:I5477)</f>
        <v>30345</v>
      </c>
    </row>
    <row r="5479" spans="3:9" ht="15.95" customHeight="1" x14ac:dyDescent="0.25">
      <c r="C5479" s="116" t="s">
        <v>376</v>
      </c>
      <c r="D5479" s="117" t="s">
        <v>377</v>
      </c>
      <c r="E5479" s="118"/>
      <c r="F5479" s="118"/>
      <c r="G5479" s="165"/>
      <c r="H5479" s="144"/>
      <c r="I5479" s="126"/>
    </row>
    <row r="5480" spans="3:9" ht="15.95" customHeight="1" x14ac:dyDescent="0.25">
      <c r="C5480" s="122"/>
      <c r="D5480" s="117" t="s">
        <v>1218</v>
      </c>
      <c r="E5480" s="118"/>
      <c r="F5480" s="123" t="s">
        <v>399</v>
      </c>
      <c r="G5480" s="124">
        <v>0.46</v>
      </c>
      <c r="H5480" s="144">
        <f>VLOOKUP(D5480,Bahan,6,FALSE)</f>
        <v>131610</v>
      </c>
      <c r="I5480" s="126">
        <f>G5480*H5480</f>
        <v>60540.600000000006</v>
      </c>
    </row>
    <row r="5481" spans="3:9" ht="15.95" customHeight="1" thickBot="1" x14ac:dyDescent="0.3">
      <c r="C5481" s="122"/>
      <c r="D5481" s="117" t="s">
        <v>1219</v>
      </c>
      <c r="E5481" s="118"/>
      <c r="F5481" s="123" t="s">
        <v>159</v>
      </c>
      <c r="G5481" s="124">
        <v>0.12</v>
      </c>
      <c r="H5481" s="144">
        <f>VLOOKUP(D5481,Bahan,6,FALSE)</f>
        <v>14760</v>
      </c>
      <c r="I5481" s="126">
        <f>G5481*H5481</f>
        <v>1771.2</v>
      </c>
    </row>
    <row r="5482" spans="3:9" ht="15.95" customHeight="1" thickBot="1" x14ac:dyDescent="0.3">
      <c r="C5482" s="132"/>
      <c r="D5482" s="133"/>
      <c r="E5482" s="134"/>
      <c r="F5482" s="134"/>
      <c r="G5482" s="135" t="s">
        <v>386</v>
      </c>
      <c r="H5482" s="136"/>
      <c r="I5482" s="137">
        <f>SUM(I5480:I5481)</f>
        <v>62311.8</v>
      </c>
    </row>
    <row r="5483" spans="3:9" ht="15.95" customHeight="1" thickBot="1" x14ac:dyDescent="0.3">
      <c r="C5483" s="116" t="s">
        <v>387</v>
      </c>
      <c r="D5483" s="117" t="s">
        <v>388</v>
      </c>
      <c r="E5483" s="118"/>
      <c r="F5483" s="118"/>
      <c r="G5483" s="165"/>
      <c r="H5483" s="144">
        <f>IF(AND(D5483&lt;&gt;"",F5483&lt;&gt;""),IF(C5483="",IF(F5483="OH",VLOOKUP(D5483,[1]UPAH!$B$3:$G$32,7,0),VLOOKUP(D5483,[1]BAHAN!$A$2:$D$3,4,0)),0),0)</f>
        <v>0</v>
      </c>
      <c r="I5483" s="126">
        <f>G5483*H5483</f>
        <v>0</v>
      </c>
    </row>
    <row r="5484" spans="3:9" ht="15.95" customHeight="1" thickBot="1" x14ac:dyDescent="0.3">
      <c r="C5484" s="132"/>
      <c r="D5484" s="133"/>
      <c r="E5484" s="134"/>
      <c r="F5484" s="134"/>
      <c r="G5484" s="135" t="s">
        <v>389</v>
      </c>
      <c r="H5484" s="136"/>
      <c r="I5484" s="137">
        <f>I5483</f>
        <v>0</v>
      </c>
    </row>
    <row r="5485" spans="3:9" ht="15.95" customHeight="1" x14ac:dyDescent="0.25">
      <c r="C5485" s="158" t="s">
        <v>390</v>
      </c>
      <c r="D5485" s="159" t="s">
        <v>391</v>
      </c>
      <c r="E5485" s="160"/>
      <c r="F5485" s="160"/>
      <c r="G5485" s="161"/>
      <c r="H5485" s="162">
        <f>IF(AND(D5485&lt;&gt;"",F5485&lt;&gt;""),IF(C5485="",IF(F5485="OH",VLOOKUP(D5485,[1]UPAH!$B$3:$G$32,7,0),VLOOKUP(D5485,[1]BAHAN!$A$2:$D$3,4,0)),0),0)</f>
        <v>0</v>
      </c>
      <c r="I5485" s="126">
        <f>SUM(I5474:I5484)/2</f>
        <v>92656.8</v>
      </c>
    </row>
    <row r="5486" spans="3:9" ht="15.95" customHeight="1" thickBot="1" x14ac:dyDescent="0.3">
      <c r="C5486" s="147" t="s">
        <v>392</v>
      </c>
      <c r="D5486" s="148" t="s">
        <v>393</v>
      </c>
      <c r="E5486" s="149"/>
      <c r="F5486" s="149"/>
      <c r="G5486" s="164">
        <v>0.1</v>
      </c>
      <c r="H5486" s="151"/>
      <c r="I5486" s="146">
        <f>G5486*I5485</f>
        <v>9265.68</v>
      </c>
    </row>
    <row r="5487" spans="3:9" ht="15.95" customHeight="1" thickBot="1" x14ac:dyDescent="0.3">
      <c r="C5487" s="111" t="s">
        <v>394</v>
      </c>
      <c r="D5487" s="112" t="s">
        <v>395</v>
      </c>
      <c r="E5487" s="134"/>
      <c r="F5487" s="134"/>
      <c r="G5487" s="156"/>
      <c r="H5487" s="136">
        <f>IF(AND(D5487&lt;&gt;"",F5487&lt;&gt;""),IF(C5487="",IF(F5487="OH",VLOOKUP(D5487,[1]UPAH!$B$3:$G$32,7,0),VLOOKUP(D5487,[1]BAHAN!$A$2:$D$3,4,0)),0),0)</f>
        <v>0</v>
      </c>
      <c r="I5487" s="137">
        <f>ROUNDDOWN(I5485+I5486,0)</f>
        <v>101922</v>
      </c>
    </row>
    <row r="5488" spans="3:9" ht="15.95" customHeight="1" x14ac:dyDescent="0.25">
      <c r="C5488" s="109"/>
      <c r="D5488" s="109"/>
      <c r="G5488" s="157"/>
    </row>
    <row r="5489" spans="2:10" ht="15.95" customHeight="1" thickBot="1" x14ac:dyDescent="0.3">
      <c r="B5489" s="109" t="s">
        <v>1242</v>
      </c>
      <c r="C5489" s="104" t="s">
        <v>1243</v>
      </c>
      <c r="G5489" s="157"/>
      <c r="J5489" s="110">
        <f>I5505</f>
        <v>106265</v>
      </c>
    </row>
    <row r="5490" spans="2:10" ht="15.95" customHeight="1" thickBot="1" x14ac:dyDescent="0.3">
      <c r="C5490" s="111" t="s">
        <v>328</v>
      </c>
      <c r="D5490" s="112" t="s">
        <v>359</v>
      </c>
      <c r="E5490" s="113" t="s">
        <v>360</v>
      </c>
      <c r="F5490" s="113" t="s">
        <v>330</v>
      </c>
      <c r="G5490" s="114" t="s">
        <v>361</v>
      </c>
      <c r="H5490" s="112" t="s">
        <v>362</v>
      </c>
      <c r="I5490" s="115" t="s">
        <v>363</v>
      </c>
    </row>
    <row r="5491" spans="2:10" ht="15.95" customHeight="1" x14ac:dyDescent="0.25">
      <c r="C5491" s="116" t="s">
        <v>364</v>
      </c>
      <c r="D5491" s="117" t="s">
        <v>365</v>
      </c>
      <c r="E5491" s="118"/>
      <c r="F5491" s="118"/>
      <c r="G5491" s="165"/>
      <c r="H5491" s="144"/>
      <c r="I5491" s="126"/>
    </row>
    <row r="5492" spans="2:10" ht="15.95" customHeight="1" x14ac:dyDescent="0.25">
      <c r="C5492" s="122"/>
      <c r="D5492" s="117" t="s">
        <v>366</v>
      </c>
      <c r="E5492" s="123" t="s">
        <v>367</v>
      </c>
      <c r="F5492" s="123" t="s">
        <v>368</v>
      </c>
      <c r="G5492" s="124">
        <v>0.14000000000000001</v>
      </c>
      <c r="H5492" s="125">
        <f>VLOOKUP(D5492,Upah,8,FALSE)</f>
        <v>125000</v>
      </c>
      <c r="I5492" s="126">
        <f>G5492*H5492</f>
        <v>17500</v>
      </c>
    </row>
    <row r="5493" spans="2:10" ht="15.95" customHeight="1" x14ac:dyDescent="0.25">
      <c r="C5493" s="122"/>
      <c r="D5493" s="117" t="s">
        <v>369</v>
      </c>
      <c r="E5493" s="123" t="s">
        <v>370</v>
      </c>
      <c r="F5493" s="123" t="s">
        <v>368</v>
      </c>
      <c r="G5493" s="124">
        <v>7.0000000000000007E-2</v>
      </c>
      <c r="H5493" s="125">
        <f>VLOOKUP(D5493,Upah,8,FALSE)</f>
        <v>150000</v>
      </c>
      <c r="I5493" s="126">
        <f>G5493*H5493</f>
        <v>10500.000000000002</v>
      </c>
    </row>
    <row r="5494" spans="2:10" ht="15.95" customHeight="1" x14ac:dyDescent="0.25">
      <c r="C5494" s="122"/>
      <c r="D5494" s="117" t="s">
        <v>429</v>
      </c>
      <c r="E5494" s="123" t="s">
        <v>372</v>
      </c>
      <c r="F5494" s="123" t="s">
        <v>368</v>
      </c>
      <c r="G5494" s="124">
        <v>7.0000000000000001E-3</v>
      </c>
      <c r="H5494" s="125">
        <f>VLOOKUP(D5494,Upah,8,FALSE)</f>
        <v>165000</v>
      </c>
      <c r="I5494" s="126">
        <f>G5494*H5494</f>
        <v>1155</v>
      </c>
    </row>
    <row r="5495" spans="2:10" ht="15.95" customHeight="1" thickBot="1" x14ac:dyDescent="0.3">
      <c r="C5495" s="122"/>
      <c r="D5495" s="117" t="s">
        <v>373</v>
      </c>
      <c r="E5495" s="123" t="s">
        <v>374</v>
      </c>
      <c r="F5495" s="123" t="s">
        <v>368</v>
      </c>
      <c r="G5495" s="124">
        <v>7.0000000000000001E-3</v>
      </c>
      <c r="H5495" s="125">
        <f>VLOOKUP(D5495,Upah,8,FALSE)</f>
        <v>170000</v>
      </c>
      <c r="I5495" s="126">
        <f>G5495*H5495</f>
        <v>1190</v>
      </c>
    </row>
    <row r="5496" spans="2:10" ht="15.95" customHeight="1" thickBot="1" x14ac:dyDescent="0.3">
      <c r="C5496" s="132"/>
      <c r="D5496" s="133"/>
      <c r="E5496" s="134"/>
      <c r="F5496" s="134"/>
      <c r="G5496" s="135" t="s">
        <v>375</v>
      </c>
      <c r="H5496" s="136"/>
      <c r="I5496" s="137">
        <f>SUM(I5492:I5495)</f>
        <v>30345</v>
      </c>
    </row>
    <row r="5497" spans="2:10" ht="15.95" customHeight="1" x14ac:dyDescent="0.25">
      <c r="C5497" s="116" t="s">
        <v>376</v>
      </c>
      <c r="D5497" s="117" t="s">
        <v>377</v>
      </c>
      <c r="E5497" s="118"/>
      <c r="F5497" s="118"/>
      <c r="G5497" s="165"/>
      <c r="H5497" s="144"/>
      <c r="I5497" s="126"/>
    </row>
    <row r="5498" spans="2:10" ht="15.95" customHeight="1" x14ac:dyDescent="0.25">
      <c r="C5498" s="122"/>
      <c r="D5498" s="117" t="s">
        <v>1218</v>
      </c>
      <c r="E5498" s="118"/>
      <c r="F5498" s="123" t="s">
        <v>399</v>
      </c>
      <c r="G5498" s="124">
        <v>0.49</v>
      </c>
      <c r="H5498" s="144">
        <f>VLOOKUP(D5498,Bahan,6,FALSE)</f>
        <v>131610</v>
      </c>
      <c r="I5498" s="126">
        <f>G5498*H5498</f>
        <v>64488.9</v>
      </c>
    </row>
    <row r="5499" spans="2:10" ht="15.95" customHeight="1" thickBot="1" x14ac:dyDescent="0.3">
      <c r="C5499" s="122"/>
      <c r="D5499" s="117" t="s">
        <v>1219</v>
      </c>
      <c r="E5499" s="118"/>
      <c r="F5499" s="123" t="s">
        <v>159</v>
      </c>
      <c r="G5499" s="124">
        <v>0.12</v>
      </c>
      <c r="H5499" s="144">
        <f>VLOOKUP(D5499,Bahan,6,FALSE)</f>
        <v>14760</v>
      </c>
      <c r="I5499" s="126">
        <f>G5499*H5499</f>
        <v>1771.2</v>
      </c>
    </row>
    <row r="5500" spans="2:10" ht="15.95" customHeight="1" thickBot="1" x14ac:dyDescent="0.3">
      <c r="C5500" s="132"/>
      <c r="D5500" s="133"/>
      <c r="E5500" s="134"/>
      <c r="F5500" s="134"/>
      <c r="G5500" s="135" t="s">
        <v>386</v>
      </c>
      <c r="H5500" s="136"/>
      <c r="I5500" s="137">
        <f>SUM(I5498:I5499)</f>
        <v>66260.100000000006</v>
      </c>
    </row>
    <row r="5501" spans="2:10" ht="15.95" customHeight="1" thickBot="1" x14ac:dyDescent="0.3">
      <c r="C5501" s="116" t="s">
        <v>387</v>
      </c>
      <c r="D5501" s="117" t="s">
        <v>388</v>
      </c>
      <c r="E5501" s="118"/>
      <c r="F5501" s="118"/>
      <c r="G5501" s="165"/>
      <c r="H5501" s="144">
        <f>IF(AND(D5501&lt;&gt;"",F5501&lt;&gt;""),IF(C5501="",IF(F5501="OH",VLOOKUP(D5501,[1]UPAH!$B$3:$G$32,7,0),VLOOKUP(D5501,[1]BAHAN!$A$2:$D$3,4,0)),0),0)</f>
        <v>0</v>
      </c>
      <c r="I5501" s="126">
        <f>G5501*H5501</f>
        <v>0</v>
      </c>
    </row>
    <row r="5502" spans="2:10" ht="15.95" customHeight="1" thickBot="1" x14ac:dyDescent="0.3">
      <c r="C5502" s="132"/>
      <c r="D5502" s="133"/>
      <c r="E5502" s="134"/>
      <c r="F5502" s="134"/>
      <c r="G5502" s="135" t="s">
        <v>389</v>
      </c>
      <c r="H5502" s="136"/>
      <c r="I5502" s="137">
        <f>I5501</f>
        <v>0</v>
      </c>
    </row>
    <row r="5503" spans="2:10" ht="15.95" customHeight="1" x14ac:dyDescent="0.25">
      <c r="C5503" s="158" t="s">
        <v>390</v>
      </c>
      <c r="D5503" s="159" t="s">
        <v>391</v>
      </c>
      <c r="E5503" s="160"/>
      <c r="F5503" s="160"/>
      <c r="G5503" s="161"/>
      <c r="H5503" s="162">
        <f>IF(AND(D5503&lt;&gt;"",F5503&lt;&gt;""),IF(C5503="",IF(F5503="OH",VLOOKUP(D5503,[1]UPAH!$B$3:$G$32,7,0),VLOOKUP(D5503,[1]BAHAN!$A$2:$D$3,4,0)),0),0)</f>
        <v>0</v>
      </c>
      <c r="I5503" s="126">
        <f>SUM(I5492:I5502)/2</f>
        <v>96605.1</v>
      </c>
    </row>
    <row r="5504" spans="2:10" ht="15.95" customHeight="1" thickBot="1" x14ac:dyDescent="0.3">
      <c r="C5504" s="147" t="s">
        <v>392</v>
      </c>
      <c r="D5504" s="148" t="s">
        <v>393</v>
      </c>
      <c r="E5504" s="149"/>
      <c r="F5504" s="149"/>
      <c r="G5504" s="164">
        <v>0.1</v>
      </c>
      <c r="H5504" s="151"/>
      <c r="I5504" s="146">
        <f>G5504*I5503</f>
        <v>9660.51</v>
      </c>
    </row>
    <row r="5505" spans="2:10" ht="15.95" customHeight="1" thickBot="1" x14ac:dyDescent="0.3">
      <c r="C5505" s="111" t="s">
        <v>394</v>
      </c>
      <c r="D5505" s="112" t="s">
        <v>395</v>
      </c>
      <c r="E5505" s="134"/>
      <c r="F5505" s="134"/>
      <c r="G5505" s="156"/>
      <c r="H5505" s="136">
        <f>IF(AND(D5505&lt;&gt;"",F5505&lt;&gt;""),IF(C5505="",IF(F5505="OH",VLOOKUP(D5505,[1]UPAH!$B$3:$G$32,7,0),VLOOKUP(D5505,[1]BAHAN!$A$2:$D$3,4,0)),0),0)</f>
        <v>0</v>
      </c>
      <c r="I5505" s="137">
        <f>ROUNDDOWN(I5503+I5504,0)</f>
        <v>106265</v>
      </c>
    </row>
    <row r="5506" spans="2:10" ht="15.95" customHeight="1" x14ac:dyDescent="0.25">
      <c r="C5506" s="109"/>
      <c r="D5506" s="109"/>
      <c r="G5506" s="157"/>
    </row>
    <row r="5507" spans="2:10" ht="15.95" customHeight="1" thickBot="1" x14ac:dyDescent="0.3">
      <c r="B5507" s="109" t="s">
        <v>1244</v>
      </c>
      <c r="C5507" s="104" t="s">
        <v>1245</v>
      </c>
      <c r="G5507" s="157"/>
      <c r="J5507" s="110">
        <f>I5523</f>
        <v>117847</v>
      </c>
    </row>
    <row r="5508" spans="2:10" ht="15.95" customHeight="1" thickBot="1" x14ac:dyDescent="0.3">
      <c r="C5508" s="111" t="s">
        <v>328</v>
      </c>
      <c r="D5508" s="112" t="s">
        <v>359</v>
      </c>
      <c r="E5508" s="113" t="s">
        <v>360</v>
      </c>
      <c r="F5508" s="113" t="s">
        <v>330</v>
      </c>
      <c r="G5508" s="114" t="s">
        <v>361</v>
      </c>
      <c r="H5508" s="112" t="s">
        <v>362</v>
      </c>
      <c r="I5508" s="115" t="s">
        <v>363</v>
      </c>
    </row>
    <row r="5509" spans="2:10" ht="15.95" customHeight="1" x14ac:dyDescent="0.25">
      <c r="C5509" s="116" t="s">
        <v>364</v>
      </c>
      <c r="D5509" s="117" t="s">
        <v>365</v>
      </c>
      <c r="E5509" s="118"/>
      <c r="F5509" s="118"/>
      <c r="G5509" s="165"/>
      <c r="H5509" s="144"/>
      <c r="I5509" s="126"/>
    </row>
    <row r="5510" spans="2:10" ht="15.95" customHeight="1" x14ac:dyDescent="0.25">
      <c r="C5510" s="122"/>
      <c r="D5510" s="117" t="s">
        <v>366</v>
      </c>
      <c r="E5510" s="123" t="s">
        <v>367</v>
      </c>
      <c r="F5510" s="123" t="s">
        <v>368</v>
      </c>
      <c r="G5510" s="124">
        <v>0.14000000000000001</v>
      </c>
      <c r="H5510" s="125">
        <f>VLOOKUP(D5510,Upah,8,FALSE)</f>
        <v>125000</v>
      </c>
      <c r="I5510" s="126">
        <f>G5510*H5510</f>
        <v>17500</v>
      </c>
    </row>
    <row r="5511" spans="2:10" ht="15.95" customHeight="1" x14ac:dyDescent="0.25">
      <c r="C5511" s="122"/>
      <c r="D5511" s="117" t="s">
        <v>369</v>
      </c>
      <c r="E5511" s="123" t="s">
        <v>370</v>
      </c>
      <c r="F5511" s="123" t="s">
        <v>368</v>
      </c>
      <c r="G5511" s="124">
        <v>7.0000000000000007E-2</v>
      </c>
      <c r="H5511" s="125">
        <f>VLOOKUP(D5511,Upah,8,FALSE)</f>
        <v>150000</v>
      </c>
      <c r="I5511" s="126">
        <f>G5511*H5511</f>
        <v>10500.000000000002</v>
      </c>
    </row>
    <row r="5512" spans="2:10" ht="15.95" customHeight="1" x14ac:dyDescent="0.25">
      <c r="C5512" s="122"/>
      <c r="D5512" s="117" t="s">
        <v>429</v>
      </c>
      <c r="E5512" s="123" t="s">
        <v>372</v>
      </c>
      <c r="F5512" s="123" t="s">
        <v>368</v>
      </c>
      <c r="G5512" s="124">
        <v>7.0000000000000001E-3</v>
      </c>
      <c r="H5512" s="125">
        <f>VLOOKUP(D5512,Upah,8,FALSE)</f>
        <v>165000</v>
      </c>
      <c r="I5512" s="126">
        <f>G5512*H5512</f>
        <v>1155</v>
      </c>
    </row>
    <row r="5513" spans="2:10" ht="15.95" customHeight="1" thickBot="1" x14ac:dyDescent="0.3">
      <c r="C5513" s="122"/>
      <c r="D5513" s="117" t="s">
        <v>373</v>
      </c>
      <c r="E5513" s="123" t="s">
        <v>374</v>
      </c>
      <c r="F5513" s="123" t="s">
        <v>368</v>
      </c>
      <c r="G5513" s="124">
        <v>7.0000000000000001E-3</v>
      </c>
      <c r="H5513" s="125">
        <f>VLOOKUP(D5513,Upah,8,FALSE)</f>
        <v>170000</v>
      </c>
      <c r="I5513" s="126">
        <f>G5513*H5513</f>
        <v>1190</v>
      </c>
    </row>
    <row r="5514" spans="2:10" ht="15.95" customHeight="1" thickBot="1" x14ac:dyDescent="0.3">
      <c r="C5514" s="132"/>
      <c r="D5514" s="133"/>
      <c r="E5514" s="134"/>
      <c r="F5514" s="134"/>
      <c r="G5514" s="135" t="s">
        <v>375</v>
      </c>
      <c r="H5514" s="136"/>
      <c r="I5514" s="137">
        <f>SUM(I5510:I5513)</f>
        <v>30345</v>
      </c>
    </row>
    <row r="5515" spans="2:10" ht="15.95" customHeight="1" x14ac:dyDescent="0.25">
      <c r="C5515" s="116" t="s">
        <v>376</v>
      </c>
      <c r="D5515" s="117" t="s">
        <v>377</v>
      </c>
      <c r="E5515" s="118"/>
      <c r="F5515" s="118"/>
      <c r="G5515" s="165"/>
      <c r="H5515" s="144"/>
      <c r="I5515" s="126"/>
    </row>
    <row r="5516" spans="2:10" ht="15.95" customHeight="1" x14ac:dyDescent="0.25">
      <c r="C5516" s="122"/>
      <c r="D5516" s="117" t="s">
        <v>1218</v>
      </c>
      <c r="E5516" s="118"/>
      <c r="F5516" s="123" t="s">
        <v>399</v>
      </c>
      <c r="G5516" s="124">
        <v>0.56999999999999995</v>
      </c>
      <c r="H5516" s="144">
        <f>VLOOKUP(D5516,Bahan,6,FALSE)</f>
        <v>131610</v>
      </c>
      <c r="I5516" s="126">
        <f>G5516*H5516</f>
        <v>75017.7</v>
      </c>
    </row>
    <row r="5517" spans="2:10" ht="15.95" customHeight="1" thickBot="1" x14ac:dyDescent="0.3">
      <c r="C5517" s="122"/>
      <c r="D5517" s="117" t="s">
        <v>1219</v>
      </c>
      <c r="E5517" s="118"/>
      <c r="F5517" s="123" t="s">
        <v>159</v>
      </c>
      <c r="G5517" s="124">
        <v>0.12</v>
      </c>
      <c r="H5517" s="144">
        <f>VLOOKUP(D5517,Bahan,6,FALSE)</f>
        <v>14760</v>
      </c>
      <c r="I5517" s="126">
        <f>G5517*H5517</f>
        <v>1771.2</v>
      </c>
    </row>
    <row r="5518" spans="2:10" ht="15.95" customHeight="1" thickBot="1" x14ac:dyDescent="0.3">
      <c r="C5518" s="132"/>
      <c r="D5518" s="133"/>
      <c r="E5518" s="134"/>
      <c r="F5518" s="134"/>
      <c r="G5518" s="135" t="s">
        <v>386</v>
      </c>
      <c r="H5518" s="136"/>
      <c r="I5518" s="137">
        <f>SUM(I5516:I5517)</f>
        <v>76788.899999999994</v>
      </c>
    </row>
    <row r="5519" spans="2:10" ht="15.95" customHeight="1" thickBot="1" x14ac:dyDescent="0.3">
      <c r="C5519" s="116" t="s">
        <v>387</v>
      </c>
      <c r="D5519" s="117" t="s">
        <v>388</v>
      </c>
      <c r="E5519" s="118"/>
      <c r="F5519" s="118"/>
      <c r="G5519" s="165"/>
      <c r="H5519" s="144">
        <f>IF(AND(D5519&lt;&gt;"",F5519&lt;&gt;""),IF(C5519="",IF(F5519="OH",VLOOKUP(D5519,[1]UPAH!$B$3:$G$32,7,0),VLOOKUP(D5519,[1]BAHAN!$A$2:$D$3,4,0)),0),0)</f>
        <v>0</v>
      </c>
      <c r="I5519" s="126">
        <f>G5519*H5519</f>
        <v>0</v>
      </c>
    </row>
    <row r="5520" spans="2:10" ht="15.95" customHeight="1" thickBot="1" x14ac:dyDescent="0.3">
      <c r="C5520" s="132"/>
      <c r="D5520" s="133"/>
      <c r="E5520" s="134"/>
      <c r="F5520" s="134"/>
      <c r="G5520" s="135" t="s">
        <v>389</v>
      </c>
      <c r="H5520" s="136"/>
      <c r="I5520" s="137">
        <f>I5519</f>
        <v>0</v>
      </c>
    </row>
    <row r="5521" spans="2:10" ht="15.95" customHeight="1" x14ac:dyDescent="0.25">
      <c r="C5521" s="158" t="s">
        <v>390</v>
      </c>
      <c r="D5521" s="159" t="s">
        <v>391</v>
      </c>
      <c r="E5521" s="160"/>
      <c r="F5521" s="160"/>
      <c r="G5521" s="161"/>
      <c r="H5521" s="162">
        <f>IF(AND(D5521&lt;&gt;"",F5521&lt;&gt;""),IF(C5521="",IF(F5521="OH",VLOOKUP(D5521,[1]UPAH!$B$3:$G$32,7,0),VLOOKUP(D5521,[1]BAHAN!$A$2:$D$3,4,0)),0),0)</f>
        <v>0</v>
      </c>
      <c r="I5521" s="126">
        <f>SUM(I5510:I5520)/2</f>
        <v>107133.90000000001</v>
      </c>
    </row>
    <row r="5522" spans="2:10" ht="15.95" customHeight="1" thickBot="1" x14ac:dyDescent="0.3">
      <c r="C5522" s="147" t="s">
        <v>392</v>
      </c>
      <c r="D5522" s="148" t="s">
        <v>393</v>
      </c>
      <c r="E5522" s="149"/>
      <c r="F5522" s="149"/>
      <c r="G5522" s="164">
        <v>0.1</v>
      </c>
      <c r="H5522" s="151"/>
      <c r="I5522" s="146">
        <f>G5522*I5521</f>
        <v>10713.390000000001</v>
      </c>
    </row>
    <row r="5523" spans="2:10" ht="15.95" customHeight="1" thickBot="1" x14ac:dyDescent="0.3">
      <c r="C5523" s="111" t="s">
        <v>394</v>
      </c>
      <c r="D5523" s="112" t="s">
        <v>395</v>
      </c>
      <c r="E5523" s="134"/>
      <c r="F5523" s="134"/>
      <c r="G5523" s="156"/>
      <c r="H5523" s="136">
        <f>IF(AND(D5523&lt;&gt;"",F5523&lt;&gt;""),IF(C5523="",IF(F5523="OH",VLOOKUP(D5523,[1]UPAH!$B$3:$G$32,7,0),VLOOKUP(D5523,[1]BAHAN!$A$2:$D$3,4,0)),0),0)</f>
        <v>0</v>
      </c>
      <c r="I5523" s="137">
        <f>ROUNDDOWN(I5521+I5522,0)</f>
        <v>117847</v>
      </c>
    </row>
    <row r="5524" spans="2:10" ht="15.95" customHeight="1" x14ac:dyDescent="0.25">
      <c r="C5524" s="109"/>
      <c r="D5524" s="109"/>
      <c r="G5524" s="157"/>
    </row>
    <row r="5525" spans="2:10" ht="15.95" customHeight="1" thickBot="1" x14ac:dyDescent="0.3">
      <c r="B5525" s="109" t="s">
        <v>1246</v>
      </c>
      <c r="C5525" s="104" t="s">
        <v>1247</v>
      </c>
      <c r="G5525" s="157"/>
      <c r="J5525" s="110">
        <f>I5541</f>
        <v>92359</v>
      </c>
    </row>
    <row r="5526" spans="2:10" ht="15.95" customHeight="1" thickBot="1" x14ac:dyDescent="0.3">
      <c r="C5526" s="111" t="s">
        <v>328</v>
      </c>
      <c r="D5526" s="112" t="s">
        <v>359</v>
      </c>
      <c r="E5526" s="113" t="s">
        <v>360</v>
      </c>
      <c r="F5526" s="113" t="s">
        <v>330</v>
      </c>
      <c r="G5526" s="114" t="s">
        <v>361</v>
      </c>
      <c r="H5526" s="112" t="s">
        <v>362</v>
      </c>
      <c r="I5526" s="115" t="s">
        <v>363</v>
      </c>
    </row>
    <row r="5527" spans="2:10" ht="15.95" customHeight="1" x14ac:dyDescent="0.25">
      <c r="C5527" s="116" t="s">
        <v>364</v>
      </c>
      <c r="D5527" s="117" t="s">
        <v>365</v>
      </c>
      <c r="E5527" s="118"/>
      <c r="F5527" s="118"/>
      <c r="G5527" s="165"/>
      <c r="H5527" s="144"/>
      <c r="I5527" s="126"/>
    </row>
    <row r="5528" spans="2:10" ht="15.95" customHeight="1" x14ac:dyDescent="0.25">
      <c r="C5528" s="122"/>
      <c r="D5528" s="117" t="s">
        <v>366</v>
      </c>
      <c r="E5528" s="123" t="s">
        <v>367</v>
      </c>
      <c r="F5528" s="123" t="s">
        <v>368</v>
      </c>
      <c r="G5528" s="124">
        <v>8.4000000000000005E-2</v>
      </c>
      <c r="H5528" s="125">
        <f>VLOOKUP(D5528,Upah,8,FALSE)</f>
        <v>125000</v>
      </c>
      <c r="I5528" s="126">
        <f>G5528*H5528</f>
        <v>10500</v>
      </c>
    </row>
    <row r="5529" spans="2:10" ht="15.95" customHeight="1" x14ac:dyDescent="0.25">
      <c r="C5529" s="122"/>
      <c r="D5529" s="117" t="s">
        <v>369</v>
      </c>
      <c r="E5529" s="123" t="s">
        <v>370</v>
      </c>
      <c r="F5529" s="123" t="s">
        <v>368</v>
      </c>
      <c r="G5529" s="124">
        <v>0.125</v>
      </c>
      <c r="H5529" s="125">
        <f>VLOOKUP(D5529,Upah,8,FALSE)</f>
        <v>150000</v>
      </c>
      <c r="I5529" s="126">
        <f>G5529*H5529</f>
        <v>18750</v>
      </c>
    </row>
    <row r="5530" spans="2:10" ht="15.95" customHeight="1" x14ac:dyDescent="0.25">
      <c r="C5530" s="122"/>
      <c r="D5530" s="117" t="s">
        <v>429</v>
      </c>
      <c r="E5530" s="123" t="s">
        <v>372</v>
      </c>
      <c r="F5530" s="123" t="s">
        <v>368</v>
      </c>
      <c r="G5530" s="124">
        <v>1.2999999999999999E-2</v>
      </c>
      <c r="H5530" s="125">
        <f>VLOOKUP(D5530,Upah,8,FALSE)</f>
        <v>165000</v>
      </c>
      <c r="I5530" s="126">
        <f>G5530*H5530</f>
        <v>2145</v>
      </c>
    </row>
    <row r="5531" spans="2:10" ht="15.95" customHeight="1" thickBot="1" x14ac:dyDescent="0.3">
      <c r="C5531" s="122"/>
      <c r="D5531" s="117" t="s">
        <v>373</v>
      </c>
      <c r="E5531" s="123" t="s">
        <v>374</v>
      </c>
      <c r="F5531" s="123" t="s">
        <v>368</v>
      </c>
      <c r="G5531" s="124">
        <v>4.0000000000000001E-3</v>
      </c>
      <c r="H5531" s="125">
        <f>VLOOKUP(D5531,Upah,8,FALSE)</f>
        <v>170000</v>
      </c>
      <c r="I5531" s="126">
        <f>G5531*H5531</f>
        <v>680</v>
      </c>
    </row>
    <row r="5532" spans="2:10" ht="15.95" customHeight="1" thickBot="1" x14ac:dyDescent="0.3">
      <c r="C5532" s="132"/>
      <c r="D5532" s="133"/>
      <c r="E5532" s="134"/>
      <c r="F5532" s="134"/>
      <c r="G5532" s="135" t="s">
        <v>375</v>
      </c>
      <c r="H5532" s="136"/>
      <c r="I5532" s="137">
        <f>SUM(I5528:I5531)</f>
        <v>32075</v>
      </c>
    </row>
    <row r="5533" spans="2:10" ht="15.95" customHeight="1" x14ac:dyDescent="0.25">
      <c r="C5533" s="116" t="s">
        <v>376</v>
      </c>
      <c r="D5533" s="117" t="s">
        <v>377</v>
      </c>
      <c r="E5533" s="118"/>
      <c r="F5533" s="118"/>
      <c r="G5533" s="165"/>
      <c r="H5533" s="144"/>
      <c r="I5533" s="126"/>
    </row>
    <row r="5534" spans="2:10" ht="15.95" customHeight="1" x14ac:dyDescent="0.25">
      <c r="C5534" s="122"/>
      <c r="D5534" s="117" t="s">
        <v>1248</v>
      </c>
      <c r="E5534" s="118"/>
      <c r="F5534" s="123" t="s">
        <v>399</v>
      </c>
      <c r="G5534" s="124">
        <v>2.4</v>
      </c>
      <c r="H5534" s="144">
        <f>VLOOKUP(D5534,Bahan,6,FALSE)</f>
        <v>19520</v>
      </c>
      <c r="I5534" s="126">
        <f>G5534*H5534</f>
        <v>46848</v>
      </c>
    </row>
    <row r="5535" spans="2:10" ht="15.95" customHeight="1" thickBot="1" x14ac:dyDescent="0.3">
      <c r="C5535" s="122"/>
      <c r="D5535" s="117" t="s">
        <v>788</v>
      </c>
      <c r="E5535" s="118"/>
      <c r="F5535" s="123" t="s">
        <v>418</v>
      </c>
      <c r="G5535" s="124">
        <v>6</v>
      </c>
      <c r="H5535" s="144">
        <f>VLOOKUP(D5535,Bahan,6,FALSE)</f>
        <v>840</v>
      </c>
      <c r="I5535" s="126">
        <f>G5535*H5535</f>
        <v>5040</v>
      </c>
    </row>
    <row r="5536" spans="2:10" ht="15.95" customHeight="1" thickBot="1" x14ac:dyDescent="0.3">
      <c r="C5536" s="132"/>
      <c r="D5536" s="133"/>
      <c r="E5536" s="134"/>
      <c r="F5536" s="134"/>
      <c r="G5536" s="135" t="s">
        <v>386</v>
      </c>
      <c r="H5536" s="136"/>
      <c r="I5536" s="137">
        <f>SUM(I5534:I5535)</f>
        <v>51888</v>
      </c>
    </row>
    <row r="5537" spans="2:10" ht="15.95" customHeight="1" thickBot="1" x14ac:dyDescent="0.3">
      <c r="C5537" s="116" t="s">
        <v>387</v>
      </c>
      <c r="D5537" s="117" t="s">
        <v>388</v>
      </c>
      <c r="E5537" s="118"/>
      <c r="F5537" s="118"/>
      <c r="G5537" s="165"/>
      <c r="H5537" s="144">
        <f>IF(AND(D5537&lt;&gt;"",F5537&lt;&gt;""),IF(C5537="",IF(F5537="OH",VLOOKUP(D5537,[1]UPAH!$B$3:$G$32,7,0),VLOOKUP(D5537,[1]BAHAN!$A$2:$D$3,4,0)),0),0)</f>
        <v>0</v>
      </c>
      <c r="I5537" s="126">
        <f>G5537*H5537</f>
        <v>0</v>
      </c>
    </row>
    <row r="5538" spans="2:10" ht="15.95" customHeight="1" thickBot="1" x14ac:dyDescent="0.3">
      <c r="C5538" s="132"/>
      <c r="D5538" s="133"/>
      <c r="E5538" s="134"/>
      <c r="F5538" s="134"/>
      <c r="G5538" s="135" t="s">
        <v>389</v>
      </c>
      <c r="H5538" s="136"/>
      <c r="I5538" s="137">
        <f>I5537</f>
        <v>0</v>
      </c>
    </row>
    <row r="5539" spans="2:10" ht="15.95" customHeight="1" x14ac:dyDescent="0.25">
      <c r="C5539" s="158" t="s">
        <v>390</v>
      </c>
      <c r="D5539" s="159" t="s">
        <v>391</v>
      </c>
      <c r="E5539" s="160"/>
      <c r="F5539" s="160"/>
      <c r="G5539" s="161"/>
      <c r="H5539" s="162">
        <f>IF(AND(D5539&lt;&gt;"",F5539&lt;&gt;""),IF(C5539="",IF(F5539="OH",VLOOKUP(D5539,[1]UPAH!$B$3:$G$32,7,0),VLOOKUP(D5539,[1]BAHAN!$A$2:$D$3,4,0)),0),0)</f>
        <v>0</v>
      </c>
      <c r="I5539" s="126">
        <f>SUM(I5528:I5538)/2</f>
        <v>83963</v>
      </c>
    </row>
    <row r="5540" spans="2:10" ht="15.95" customHeight="1" thickBot="1" x14ac:dyDescent="0.3">
      <c r="C5540" s="147" t="s">
        <v>392</v>
      </c>
      <c r="D5540" s="148" t="s">
        <v>393</v>
      </c>
      <c r="E5540" s="149"/>
      <c r="F5540" s="149"/>
      <c r="G5540" s="164">
        <v>0.1</v>
      </c>
      <c r="H5540" s="151"/>
      <c r="I5540" s="146">
        <f>G5540*I5539</f>
        <v>8396.3000000000011</v>
      </c>
    </row>
    <row r="5541" spans="2:10" ht="15.95" customHeight="1" thickBot="1" x14ac:dyDescent="0.3">
      <c r="C5541" s="111" t="s">
        <v>394</v>
      </c>
      <c r="D5541" s="112" t="s">
        <v>395</v>
      </c>
      <c r="E5541" s="134"/>
      <c r="F5541" s="134"/>
      <c r="G5541" s="156"/>
      <c r="H5541" s="136">
        <f>IF(AND(D5541&lt;&gt;"",F5541&lt;&gt;""),IF(C5541="",IF(F5541="OH",VLOOKUP(D5541,[1]UPAH!$B$3:$G$32,7,0),VLOOKUP(D5541,[1]BAHAN!$A$2:$D$3,4,0)),0),0)</f>
        <v>0</v>
      </c>
      <c r="I5541" s="137">
        <f>ROUNDDOWN(I5539+I5540,0)</f>
        <v>92359</v>
      </c>
    </row>
    <row r="5542" spans="2:10" ht="15.95" customHeight="1" x14ac:dyDescent="0.25">
      <c r="C5542" s="109"/>
      <c r="D5542" s="109"/>
      <c r="G5542" s="157"/>
    </row>
    <row r="5543" spans="2:10" ht="15.95" customHeight="1" thickBot="1" x14ac:dyDescent="0.3">
      <c r="B5543" s="109" t="s">
        <v>1249</v>
      </c>
      <c r="C5543" s="104" t="s">
        <v>1250</v>
      </c>
      <c r="G5543" s="157"/>
      <c r="J5543" s="110">
        <f>I5559</f>
        <v>85917</v>
      </c>
    </row>
    <row r="5544" spans="2:10" ht="15.95" customHeight="1" thickBot="1" x14ac:dyDescent="0.3">
      <c r="C5544" s="111" t="s">
        <v>328</v>
      </c>
      <c r="D5544" s="112" t="s">
        <v>359</v>
      </c>
      <c r="E5544" s="113" t="s">
        <v>360</v>
      </c>
      <c r="F5544" s="113" t="s">
        <v>330</v>
      </c>
      <c r="G5544" s="114" t="s">
        <v>361</v>
      </c>
      <c r="H5544" s="112" t="s">
        <v>362</v>
      </c>
      <c r="I5544" s="115" t="s">
        <v>363</v>
      </c>
    </row>
    <row r="5545" spans="2:10" ht="15.95" customHeight="1" x14ac:dyDescent="0.25">
      <c r="C5545" s="116" t="s">
        <v>364</v>
      </c>
      <c r="D5545" s="117" t="s">
        <v>365</v>
      </c>
      <c r="E5545" s="118"/>
      <c r="F5545" s="118"/>
      <c r="G5545" s="165"/>
      <c r="H5545" s="144"/>
      <c r="I5545" s="126"/>
    </row>
    <row r="5546" spans="2:10" ht="15.95" customHeight="1" x14ac:dyDescent="0.25">
      <c r="C5546" s="122"/>
      <c r="D5546" s="117" t="s">
        <v>366</v>
      </c>
      <c r="E5546" s="123" t="s">
        <v>367</v>
      </c>
      <c r="F5546" s="123" t="s">
        <v>368</v>
      </c>
      <c r="G5546" s="124">
        <v>8.4000000000000005E-2</v>
      </c>
      <c r="H5546" s="125">
        <f>VLOOKUP(D5546,Upah,8,FALSE)</f>
        <v>125000</v>
      </c>
      <c r="I5546" s="126">
        <f>G5546*H5546</f>
        <v>10500</v>
      </c>
    </row>
    <row r="5547" spans="2:10" ht="15.95" customHeight="1" x14ac:dyDescent="0.25">
      <c r="C5547" s="122"/>
      <c r="D5547" s="117" t="s">
        <v>369</v>
      </c>
      <c r="E5547" s="123" t="s">
        <v>370</v>
      </c>
      <c r="F5547" s="123" t="s">
        <v>368</v>
      </c>
      <c r="G5547" s="124">
        <v>0.125</v>
      </c>
      <c r="H5547" s="125">
        <f>VLOOKUP(D5547,Upah,8,FALSE)</f>
        <v>150000</v>
      </c>
      <c r="I5547" s="126">
        <f>G5547*H5547</f>
        <v>18750</v>
      </c>
    </row>
    <row r="5548" spans="2:10" ht="15.95" customHeight="1" x14ac:dyDescent="0.25">
      <c r="C5548" s="122"/>
      <c r="D5548" s="117" t="s">
        <v>429</v>
      </c>
      <c r="E5548" s="123" t="s">
        <v>372</v>
      </c>
      <c r="F5548" s="123" t="s">
        <v>368</v>
      </c>
      <c r="G5548" s="124">
        <v>1.2999999999999999E-2</v>
      </c>
      <c r="H5548" s="125">
        <f>VLOOKUP(D5548,Upah,8,FALSE)</f>
        <v>165000</v>
      </c>
      <c r="I5548" s="126">
        <f>G5548*H5548</f>
        <v>2145</v>
      </c>
    </row>
    <row r="5549" spans="2:10" ht="15.95" customHeight="1" thickBot="1" x14ac:dyDescent="0.3">
      <c r="C5549" s="122"/>
      <c r="D5549" s="117" t="s">
        <v>373</v>
      </c>
      <c r="E5549" s="123" t="s">
        <v>374</v>
      </c>
      <c r="F5549" s="123" t="s">
        <v>368</v>
      </c>
      <c r="G5549" s="124">
        <v>4.0000000000000001E-3</v>
      </c>
      <c r="H5549" s="125">
        <f>VLOOKUP(D5549,Upah,8,FALSE)</f>
        <v>170000</v>
      </c>
      <c r="I5549" s="126">
        <f>G5549*H5549</f>
        <v>680</v>
      </c>
    </row>
    <row r="5550" spans="2:10" ht="15.95" customHeight="1" thickBot="1" x14ac:dyDescent="0.3">
      <c r="C5550" s="132"/>
      <c r="D5550" s="133"/>
      <c r="E5550" s="134"/>
      <c r="F5550" s="134"/>
      <c r="G5550" s="135" t="s">
        <v>375</v>
      </c>
      <c r="H5550" s="136"/>
      <c r="I5550" s="137">
        <f>SUM(I5546:I5549)</f>
        <v>32075</v>
      </c>
    </row>
    <row r="5551" spans="2:10" ht="15.95" customHeight="1" x14ac:dyDescent="0.25">
      <c r="C5551" s="116" t="s">
        <v>376</v>
      </c>
      <c r="D5551" s="117" t="s">
        <v>377</v>
      </c>
      <c r="E5551" s="118"/>
      <c r="F5551" s="118"/>
      <c r="G5551" s="165"/>
      <c r="H5551" s="144"/>
      <c r="I5551" s="126"/>
    </row>
    <row r="5552" spans="2:10" ht="15.95" customHeight="1" x14ac:dyDescent="0.25">
      <c r="C5552" s="122"/>
      <c r="D5552" s="117" t="s">
        <v>1248</v>
      </c>
      <c r="E5552" s="118"/>
      <c r="F5552" s="123" t="s">
        <v>399</v>
      </c>
      <c r="G5552" s="124">
        <v>2.1</v>
      </c>
      <c r="H5552" s="144">
        <f>VLOOKUP(D5552,Bahan,6,FALSE)</f>
        <v>19520</v>
      </c>
      <c r="I5552" s="126">
        <f>G5552*H5552</f>
        <v>40992</v>
      </c>
    </row>
    <row r="5553" spans="2:10" ht="15.95" customHeight="1" thickBot="1" x14ac:dyDescent="0.3">
      <c r="C5553" s="122"/>
      <c r="D5553" s="117" t="s">
        <v>788</v>
      </c>
      <c r="E5553" s="118"/>
      <c r="F5553" s="123" t="s">
        <v>418</v>
      </c>
      <c r="G5553" s="124">
        <v>6</v>
      </c>
      <c r="H5553" s="144">
        <f>VLOOKUP(D5553,Bahan,6,FALSE)</f>
        <v>840</v>
      </c>
      <c r="I5553" s="126">
        <f>G5553*H5553</f>
        <v>5040</v>
      </c>
    </row>
    <row r="5554" spans="2:10" ht="15.95" customHeight="1" thickBot="1" x14ac:dyDescent="0.3">
      <c r="C5554" s="132"/>
      <c r="D5554" s="133"/>
      <c r="E5554" s="134"/>
      <c r="F5554" s="134"/>
      <c r="G5554" s="135" t="s">
        <v>386</v>
      </c>
      <c r="H5554" s="136"/>
      <c r="I5554" s="137">
        <f>SUM(I5552:I5553)</f>
        <v>46032</v>
      </c>
    </row>
    <row r="5555" spans="2:10" ht="15.95" customHeight="1" thickBot="1" x14ac:dyDescent="0.3">
      <c r="C5555" s="116" t="s">
        <v>387</v>
      </c>
      <c r="D5555" s="117" t="s">
        <v>388</v>
      </c>
      <c r="E5555" s="118"/>
      <c r="F5555" s="118"/>
      <c r="G5555" s="165"/>
      <c r="H5555" s="144">
        <f>IF(AND(D5555&lt;&gt;"",F5555&lt;&gt;""),IF(C5555="",IF(F5555="OH",VLOOKUP(D5555,[1]UPAH!$B$3:$G$32,7,0),VLOOKUP(D5555,[1]BAHAN!$A$2:$D$3,4,0)),0),0)</f>
        <v>0</v>
      </c>
      <c r="I5555" s="126">
        <f>G5555*H5555</f>
        <v>0</v>
      </c>
    </row>
    <row r="5556" spans="2:10" ht="15.95" customHeight="1" thickBot="1" x14ac:dyDescent="0.3">
      <c r="C5556" s="132"/>
      <c r="D5556" s="133"/>
      <c r="E5556" s="134"/>
      <c r="F5556" s="134"/>
      <c r="G5556" s="135" t="s">
        <v>389</v>
      </c>
      <c r="H5556" s="136"/>
      <c r="I5556" s="137">
        <f>I5555</f>
        <v>0</v>
      </c>
    </row>
    <row r="5557" spans="2:10" ht="15.95" customHeight="1" x14ac:dyDescent="0.25">
      <c r="C5557" s="158" t="s">
        <v>390</v>
      </c>
      <c r="D5557" s="159" t="s">
        <v>391</v>
      </c>
      <c r="E5557" s="160"/>
      <c r="F5557" s="160"/>
      <c r="G5557" s="161"/>
      <c r="H5557" s="162">
        <f>IF(AND(D5557&lt;&gt;"",F5557&lt;&gt;""),IF(C5557="",IF(F5557="OH",VLOOKUP(D5557,[1]UPAH!$B$3:$G$32,7,0),VLOOKUP(D5557,[1]BAHAN!$A$2:$D$3,4,0)),0),0)</f>
        <v>0</v>
      </c>
      <c r="I5557" s="126">
        <f>SUM(I5546:I5556)/2</f>
        <v>78107</v>
      </c>
    </row>
    <row r="5558" spans="2:10" ht="15.95" customHeight="1" thickBot="1" x14ac:dyDescent="0.3">
      <c r="C5558" s="147" t="s">
        <v>392</v>
      </c>
      <c r="D5558" s="148" t="s">
        <v>393</v>
      </c>
      <c r="E5558" s="149"/>
      <c r="F5558" s="149"/>
      <c r="G5558" s="164">
        <v>0.1</v>
      </c>
      <c r="H5558" s="151"/>
      <c r="I5558" s="146">
        <f>G5558*I5557</f>
        <v>7810.7000000000007</v>
      </c>
    </row>
    <row r="5559" spans="2:10" ht="15.95" customHeight="1" thickBot="1" x14ac:dyDescent="0.3">
      <c r="C5559" s="111" t="s">
        <v>394</v>
      </c>
      <c r="D5559" s="112" t="s">
        <v>395</v>
      </c>
      <c r="E5559" s="134"/>
      <c r="F5559" s="134"/>
      <c r="G5559" s="156"/>
      <c r="H5559" s="136">
        <f>IF(AND(D5559&lt;&gt;"",F5559&lt;&gt;""),IF(C5559="",IF(F5559="OH",VLOOKUP(D5559,[1]UPAH!$B$3:$G$32,7,0),VLOOKUP(D5559,[1]BAHAN!$A$2:$D$3,4,0)),0),0)</f>
        <v>0</v>
      </c>
      <c r="I5559" s="137">
        <f>ROUNDDOWN(I5557+I5558,0)</f>
        <v>85917</v>
      </c>
    </row>
    <row r="5560" spans="2:10" ht="15.95" customHeight="1" x14ac:dyDescent="0.25">
      <c r="C5560" s="109"/>
      <c r="D5560" s="109"/>
      <c r="G5560" s="157"/>
    </row>
    <row r="5561" spans="2:10" ht="15.95" customHeight="1" thickBot="1" x14ac:dyDescent="0.3">
      <c r="B5561" s="109" t="s">
        <v>1251</v>
      </c>
      <c r="C5561" s="104" t="s">
        <v>1252</v>
      </c>
      <c r="G5561" s="157"/>
      <c r="J5561" s="110">
        <f>I5577</f>
        <v>84844</v>
      </c>
    </row>
    <row r="5562" spans="2:10" ht="15.95" customHeight="1" thickBot="1" x14ac:dyDescent="0.3">
      <c r="C5562" s="111" t="s">
        <v>328</v>
      </c>
      <c r="D5562" s="112" t="s">
        <v>359</v>
      </c>
      <c r="E5562" s="113" t="s">
        <v>360</v>
      </c>
      <c r="F5562" s="113" t="s">
        <v>330</v>
      </c>
      <c r="G5562" s="114" t="s">
        <v>361</v>
      </c>
      <c r="H5562" s="112" t="s">
        <v>362</v>
      </c>
      <c r="I5562" s="115" t="s">
        <v>363</v>
      </c>
    </row>
    <row r="5563" spans="2:10" ht="15.95" customHeight="1" x14ac:dyDescent="0.25">
      <c r="C5563" s="116" t="s">
        <v>364</v>
      </c>
      <c r="D5563" s="117" t="s">
        <v>365</v>
      </c>
      <c r="E5563" s="118"/>
      <c r="F5563" s="118"/>
      <c r="G5563" s="165"/>
      <c r="H5563" s="144"/>
      <c r="I5563" s="126"/>
    </row>
    <row r="5564" spans="2:10" ht="15.95" customHeight="1" x14ac:dyDescent="0.25">
      <c r="C5564" s="122"/>
      <c r="D5564" s="117" t="s">
        <v>366</v>
      </c>
      <c r="E5564" s="123" t="s">
        <v>367</v>
      </c>
      <c r="F5564" s="123" t="s">
        <v>368</v>
      </c>
      <c r="G5564" s="124">
        <v>8.4000000000000005E-2</v>
      </c>
      <c r="H5564" s="125">
        <f>VLOOKUP(D5564,Upah,8,FALSE)</f>
        <v>125000</v>
      </c>
      <c r="I5564" s="126">
        <f>G5564*H5564</f>
        <v>10500</v>
      </c>
    </row>
    <row r="5565" spans="2:10" ht="15.95" customHeight="1" x14ac:dyDescent="0.25">
      <c r="C5565" s="122"/>
      <c r="D5565" s="117" t="s">
        <v>369</v>
      </c>
      <c r="E5565" s="123" t="s">
        <v>370</v>
      </c>
      <c r="F5565" s="123" t="s">
        <v>368</v>
      </c>
      <c r="G5565" s="124">
        <v>0.125</v>
      </c>
      <c r="H5565" s="125">
        <f>VLOOKUP(D5565,Upah,8,FALSE)</f>
        <v>150000</v>
      </c>
      <c r="I5565" s="126">
        <f>G5565*H5565</f>
        <v>18750</v>
      </c>
    </row>
    <row r="5566" spans="2:10" ht="15.95" customHeight="1" x14ac:dyDescent="0.25">
      <c r="C5566" s="122"/>
      <c r="D5566" s="117" t="s">
        <v>429</v>
      </c>
      <c r="E5566" s="123" t="s">
        <v>372</v>
      </c>
      <c r="F5566" s="123" t="s">
        <v>368</v>
      </c>
      <c r="G5566" s="124">
        <v>1.2999999999999999E-2</v>
      </c>
      <c r="H5566" s="125">
        <f>VLOOKUP(D5566,Upah,8,FALSE)</f>
        <v>165000</v>
      </c>
      <c r="I5566" s="126">
        <f>G5566*H5566</f>
        <v>2145</v>
      </c>
    </row>
    <row r="5567" spans="2:10" ht="15.95" customHeight="1" thickBot="1" x14ac:dyDescent="0.3">
      <c r="C5567" s="122"/>
      <c r="D5567" s="117" t="s">
        <v>373</v>
      </c>
      <c r="E5567" s="123" t="s">
        <v>374</v>
      </c>
      <c r="F5567" s="123" t="s">
        <v>368</v>
      </c>
      <c r="G5567" s="124">
        <v>4.0000000000000001E-3</v>
      </c>
      <c r="H5567" s="125">
        <f>VLOOKUP(D5567,Upah,8,FALSE)</f>
        <v>170000</v>
      </c>
      <c r="I5567" s="126">
        <f>G5567*H5567</f>
        <v>680</v>
      </c>
    </row>
    <row r="5568" spans="2:10" ht="15.95" customHeight="1" thickBot="1" x14ac:dyDescent="0.3">
      <c r="C5568" s="132"/>
      <c r="D5568" s="133"/>
      <c r="E5568" s="134"/>
      <c r="F5568" s="134"/>
      <c r="G5568" s="135" t="s">
        <v>375</v>
      </c>
      <c r="H5568" s="136"/>
      <c r="I5568" s="137">
        <f>SUM(I5564:I5567)</f>
        <v>32075</v>
      </c>
    </row>
    <row r="5569" spans="2:10" ht="15.95" customHeight="1" x14ac:dyDescent="0.25">
      <c r="C5569" s="116" t="s">
        <v>376</v>
      </c>
      <c r="D5569" s="117" t="s">
        <v>377</v>
      </c>
      <c r="E5569" s="118"/>
      <c r="F5569" s="118"/>
      <c r="G5569" s="165"/>
      <c r="H5569" s="144"/>
      <c r="I5569" s="126"/>
    </row>
    <row r="5570" spans="2:10" ht="15.95" customHeight="1" x14ac:dyDescent="0.25">
      <c r="C5570" s="122"/>
      <c r="D5570" s="117" t="s">
        <v>1248</v>
      </c>
      <c r="E5570" s="118"/>
      <c r="F5570" s="123" t="s">
        <v>399</v>
      </c>
      <c r="G5570" s="124">
        <v>2.0499999999999998</v>
      </c>
      <c r="H5570" s="144">
        <f>VLOOKUP(D5570,Bahan,6,FALSE)</f>
        <v>19520</v>
      </c>
      <c r="I5570" s="126">
        <f>G5570*H5570</f>
        <v>40016</v>
      </c>
    </row>
    <row r="5571" spans="2:10" ht="15.95" customHeight="1" thickBot="1" x14ac:dyDescent="0.3">
      <c r="C5571" s="122"/>
      <c r="D5571" s="117" t="s">
        <v>788</v>
      </c>
      <c r="E5571" s="118"/>
      <c r="F5571" s="123" t="s">
        <v>418</v>
      </c>
      <c r="G5571" s="124">
        <v>6</v>
      </c>
      <c r="H5571" s="144">
        <f>VLOOKUP(D5571,Bahan,6,FALSE)</f>
        <v>840</v>
      </c>
      <c r="I5571" s="126">
        <f>G5571*H5571</f>
        <v>5040</v>
      </c>
    </row>
    <row r="5572" spans="2:10" ht="15.95" customHeight="1" thickBot="1" x14ac:dyDescent="0.3">
      <c r="C5572" s="132"/>
      <c r="D5572" s="133"/>
      <c r="E5572" s="134"/>
      <c r="F5572" s="134"/>
      <c r="G5572" s="135" t="s">
        <v>386</v>
      </c>
      <c r="H5572" s="136"/>
      <c r="I5572" s="137">
        <f>SUM(I5570:I5571)</f>
        <v>45056</v>
      </c>
    </row>
    <row r="5573" spans="2:10" ht="15.95" customHeight="1" thickBot="1" x14ac:dyDescent="0.3">
      <c r="C5573" s="116" t="s">
        <v>387</v>
      </c>
      <c r="D5573" s="117" t="s">
        <v>388</v>
      </c>
      <c r="E5573" s="118"/>
      <c r="F5573" s="118"/>
      <c r="G5573" s="165"/>
      <c r="H5573" s="144">
        <f>IF(AND(D5573&lt;&gt;"",F5573&lt;&gt;""),IF(C5573="",IF(F5573="OH",VLOOKUP(D5573,[1]UPAH!$B$3:$G$32,7,0),VLOOKUP(D5573,[1]BAHAN!$A$2:$D$3,4,0)),0),0)</f>
        <v>0</v>
      </c>
      <c r="I5573" s="126">
        <f>G5573*H5573</f>
        <v>0</v>
      </c>
    </row>
    <row r="5574" spans="2:10" ht="15.95" customHeight="1" thickBot="1" x14ac:dyDescent="0.3">
      <c r="C5574" s="132"/>
      <c r="D5574" s="133"/>
      <c r="E5574" s="134"/>
      <c r="F5574" s="134"/>
      <c r="G5574" s="135" t="s">
        <v>389</v>
      </c>
      <c r="H5574" s="136"/>
      <c r="I5574" s="137">
        <f>I5573</f>
        <v>0</v>
      </c>
    </row>
    <row r="5575" spans="2:10" ht="15.95" customHeight="1" x14ac:dyDescent="0.25">
      <c r="C5575" s="158" t="s">
        <v>390</v>
      </c>
      <c r="D5575" s="159" t="s">
        <v>391</v>
      </c>
      <c r="E5575" s="160"/>
      <c r="F5575" s="160"/>
      <c r="G5575" s="161"/>
      <c r="H5575" s="162">
        <f>IF(AND(D5575&lt;&gt;"",F5575&lt;&gt;""),IF(C5575="",IF(F5575="OH",VLOOKUP(D5575,[1]UPAH!$B$3:$G$32,7,0),VLOOKUP(D5575,[1]BAHAN!$A$2:$D$3,4,0)),0),0)</f>
        <v>0</v>
      </c>
      <c r="I5575" s="126">
        <f>SUM(I5564:I5574)/2</f>
        <v>77131</v>
      </c>
    </row>
    <row r="5576" spans="2:10" ht="15.95" customHeight="1" thickBot="1" x14ac:dyDescent="0.3">
      <c r="C5576" s="147" t="s">
        <v>392</v>
      </c>
      <c r="D5576" s="148" t="s">
        <v>393</v>
      </c>
      <c r="E5576" s="149"/>
      <c r="F5576" s="149"/>
      <c r="G5576" s="164">
        <v>0.1</v>
      </c>
      <c r="H5576" s="151"/>
      <c r="I5576" s="146">
        <f>G5576*I5575</f>
        <v>7713.1</v>
      </c>
    </row>
    <row r="5577" spans="2:10" ht="15.95" customHeight="1" thickBot="1" x14ac:dyDescent="0.3">
      <c r="C5577" s="111" t="s">
        <v>394</v>
      </c>
      <c r="D5577" s="112" t="s">
        <v>395</v>
      </c>
      <c r="E5577" s="134"/>
      <c r="F5577" s="134"/>
      <c r="G5577" s="156"/>
      <c r="H5577" s="136">
        <f>IF(AND(D5577&lt;&gt;"",F5577&lt;&gt;""),IF(C5577="",IF(F5577="OH",VLOOKUP(D5577,[1]UPAH!$B$3:$G$32,7,0),VLOOKUP(D5577,[1]BAHAN!$A$2:$D$3,4,0)),0),0)</f>
        <v>0</v>
      </c>
      <c r="I5577" s="137">
        <f>ROUNDDOWN(I5575+I5576,0)</f>
        <v>84844</v>
      </c>
    </row>
    <row r="5578" spans="2:10" ht="15.95" customHeight="1" x14ac:dyDescent="0.25">
      <c r="C5578" s="109"/>
      <c r="D5578" s="109"/>
      <c r="G5578" s="157"/>
    </row>
    <row r="5579" spans="2:10" ht="15.95" customHeight="1" thickBot="1" x14ac:dyDescent="0.3">
      <c r="B5579" s="109" t="s">
        <v>1253</v>
      </c>
      <c r="C5579" s="104" t="s">
        <v>1254</v>
      </c>
      <c r="G5579" s="157"/>
      <c r="J5579" s="110">
        <f>I5595</f>
        <v>102180</v>
      </c>
    </row>
    <row r="5580" spans="2:10" ht="15.95" customHeight="1" thickBot="1" x14ac:dyDescent="0.3">
      <c r="C5580" s="111" t="s">
        <v>328</v>
      </c>
      <c r="D5580" s="112" t="s">
        <v>359</v>
      </c>
      <c r="E5580" s="113" t="s">
        <v>360</v>
      </c>
      <c r="F5580" s="113" t="s">
        <v>330</v>
      </c>
      <c r="G5580" s="114" t="s">
        <v>361</v>
      </c>
      <c r="H5580" s="112" t="s">
        <v>362</v>
      </c>
      <c r="I5580" s="115" t="s">
        <v>363</v>
      </c>
    </row>
    <row r="5581" spans="2:10" ht="15.95" customHeight="1" x14ac:dyDescent="0.25">
      <c r="C5581" s="116" t="s">
        <v>364</v>
      </c>
      <c r="D5581" s="117" t="s">
        <v>365</v>
      </c>
      <c r="E5581" s="118"/>
      <c r="F5581" s="118"/>
      <c r="G5581" s="165"/>
      <c r="H5581" s="144"/>
      <c r="I5581" s="126"/>
    </row>
    <row r="5582" spans="2:10" ht="15.95" customHeight="1" x14ac:dyDescent="0.25">
      <c r="C5582" s="122"/>
      <c r="D5582" s="117" t="s">
        <v>366</v>
      </c>
      <c r="E5582" s="123" t="s">
        <v>367</v>
      </c>
      <c r="F5582" s="123" t="s">
        <v>368</v>
      </c>
      <c r="G5582" s="124">
        <v>8.4000000000000005E-2</v>
      </c>
      <c r="H5582" s="125">
        <f>VLOOKUP(D5582,Upah,8,FALSE)</f>
        <v>125000</v>
      </c>
      <c r="I5582" s="126">
        <f>G5582*H5582</f>
        <v>10500</v>
      </c>
    </row>
    <row r="5583" spans="2:10" ht="15.95" customHeight="1" x14ac:dyDescent="0.25">
      <c r="C5583" s="122"/>
      <c r="D5583" s="117" t="s">
        <v>369</v>
      </c>
      <c r="E5583" s="123" t="s">
        <v>370</v>
      </c>
      <c r="F5583" s="123" t="s">
        <v>368</v>
      </c>
      <c r="G5583" s="124">
        <v>0.125</v>
      </c>
      <c r="H5583" s="125">
        <f>VLOOKUP(D5583,Upah,8,FALSE)</f>
        <v>150000</v>
      </c>
      <c r="I5583" s="126">
        <f>G5583*H5583</f>
        <v>18750</v>
      </c>
    </row>
    <row r="5584" spans="2:10" ht="15.95" customHeight="1" x14ac:dyDescent="0.25">
      <c r="C5584" s="122"/>
      <c r="D5584" s="117" t="s">
        <v>429</v>
      </c>
      <c r="E5584" s="123" t="s">
        <v>372</v>
      </c>
      <c r="F5584" s="123" t="s">
        <v>368</v>
      </c>
      <c r="G5584" s="124">
        <v>1.2999999999999999E-2</v>
      </c>
      <c r="H5584" s="125">
        <f>VLOOKUP(D5584,Upah,8,FALSE)</f>
        <v>165000</v>
      </c>
      <c r="I5584" s="126">
        <f>G5584*H5584</f>
        <v>2145</v>
      </c>
    </row>
    <row r="5585" spans="2:10" ht="15.95" customHeight="1" thickBot="1" x14ac:dyDescent="0.3">
      <c r="C5585" s="122"/>
      <c r="D5585" s="117" t="s">
        <v>373</v>
      </c>
      <c r="E5585" s="123" t="s">
        <v>374</v>
      </c>
      <c r="F5585" s="123" t="s">
        <v>368</v>
      </c>
      <c r="G5585" s="124">
        <v>4.0000000000000001E-3</v>
      </c>
      <c r="H5585" s="125">
        <f>VLOOKUP(D5585,Upah,8,FALSE)</f>
        <v>170000</v>
      </c>
      <c r="I5585" s="126">
        <f>G5585*H5585</f>
        <v>680</v>
      </c>
    </row>
    <row r="5586" spans="2:10" ht="15.95" customHeight="1" thickBot="1" x14ac:dyDescent="0.3">
      <c r="C5586" s="132"/>
      <c r="D5586" s="133"/>
      <c r="E5586" s="134"/>
      <c r="F5586" s="134"/>
      <c r="G5586" s="135" t="s">
        <v>375</v>
      </c>
      <c r="H5586" s="136"/>
      <c r="I5586" s="137">
        <f>SUM(I5582:I5585)</f>
        <v>32075</v>
      </c>
    </row>
    <row r="5587" spans="2:10" ht="15.95" customHeight="1" x14ac:dyDescent="0.25">
      <c r="C5587" s="116" t="s">
        <v>376</v>
      </c>
      <c r="D5587" s="117" t="s">
        <v>377</v>
      </c>
      <c r="E5587" s="118"/>
      <c r="F5587" s="118"/>
      <c r="G5587" s="165"/>
      <c r="H5587" s="144"/>
      <c r="I5587" s="126"/>
    </row>
    <row r="5588" spans="2:10" ht="15.95" customHeight="1" x14ac:dyDescent="0.25">
      <c r="C5588" s="122"/>
      <c r="D5588" s="117" t="s">
        <v>1255</v>
      </c>
      <c r="E5588" s="118"/>
      <c r="F5588" s="123" t="s">
        <v>399</v>
      </c>
      <c r="G5588" s="124">
        <v>1.2</v>
      </c>
      <c r="H5588" s="144">
        <f>VLOOKUP(D5588,Bahan,6,FALSE)</f>
        <v>46480</v>
      </c>
      <c r="I5588" s="126">
        <f>G5588*H5588</f>
        <v>55776</v>
      </c>
    </row>
    <row r="5589" spans="2:10" ht="15.95" customHeight="1" thickBot="1" x14ac:dyDescent="0.3">
      <c r="C5589" s="122"/>
      <c r="D5589" s="117" t="s">
        <v>788</v>
      </c>
      <c r="E5589" s="118"/>
      <c r="F5589" s="123" t="s">
        <v>418</v>
      </c>
      <c r="G5589" s="124">
        <v>6</v>
      </c>
      <c r="H5589" s="144">
        <f>VLOOKUP(D5589,Bahan,6,FALSE)</f>
        <v>840</v>
      </c>
      <c r="I5589" s="126">
        <f>G5589*H5589</f>
        <v>5040</v>
      </c>
    </row>
    <row r="5590" spans="2:10" ht="15.95" customHeight="1" thickBot="1" x14ac:dyDescent="0.3">
      <c r="C5590" s="132"/>
      <c r="D5590" s="133"/>
      <c r="E5590" s="134"/>
      <c r="F5590" s="134"/>
      <c r="G5590" s="135" t="s">
        <v>386</v>
      </c>
      <c r="H5590" s="136"/>
      <c r="I5590" s="137">
        <f>SUM(I5588:I5589)</f>
        <v>60816</v>
      </c>
    </row>
    <row r="5591" spans="2:10" ht="15.95" customHeight="1" thickBot="1" x14ac:dyDescent="0.3">
      <c r="C5591" s="116" t="s">
        <v>387</v>
      </c>
      <c r="D5591" s="117" t="s">
        <v>388</v>
      </c>
      <c r="E5591" s="118"/>
      <c r="F5591" s="118"/>
      <c r="G5591" s="165"/>
      <c r="H5591" s="144">
        <f>IF(AND(D5591&lt;&gt;"",F5591&lt;&gt;""),IF(C5591="",IF(F5591="OH",VLOOKUP(D5591,[1]UPAH!$B$3:$G$32,7,0),VLOOKUP(D5591,[1]BAHAN!$A$2:$D$3,4,0)),0),0)</f>
        <v>0</v>
      </c>
      <c r="I5591" s="126">
        <f>G5591*H5591</f>
        <v>0</v>
      </c>
    </row>
    <row r="5592" spans="2:10" ht="15.95" customHeight="1" thickBot="1" x14ac:dyDescent="0.3">
      <c r="C5592" s="132"/>
      <c r="D5592" s="133"/>
      <c r="E5592" s="134"/>
      <c r="F5592" s="134"/>
      <c r="G5592" s="135" t="s">
        <v>389</v>
      </c>
      <c r="H5592" s="136"/>
      <c r="I5592" s="137">
        <f>I5591</f>
        <v>0</v>
      </c>
    </row>
    <row r="5593" spans="2:10" ht="15.95" customHeight="1" x14ac:dyDescent="0.25">
      <c r="C5593" s="158" t="s">
        <v>390</v>
      </c>
      <c r="D5593" s="159" t="s">
        <v>391</v>
      </c>
      <c r="E5593" s="160"/>
      <c r="F5593" s="160"/>
      <c r="G5593" s="161"/>
      <c r="H5593" s="162">
        <f>IF(AND(D5593&lt;&gt;"",F5593&lt;&gt;""),IF(C5593="",IF(F5593="OH",VLOOKUP(D5593,[1]UPAH!$B$3:$G$32,7,0),VLOOKUP(D5593,[1]BAHAN!$A$2:$D$3,4,0)),0),0)</f>
        <v>0</v>
      </c>
      <c r="I5593" s="126">
        <f>SUM(I5582:I5592)/2</f>
        <v>92891</v>
      </c>
    </row>
    <row r="5594" spans="2:10" ht="15.95" customHeight="1" thickBot="1" x14ac:dyDescent="0.3">
      <c r="C5594" s="147" t="s">
        <v>392</v>
      </c>
      <c r="D5594" s="148" t="s">
        <v>393</v>
      </c>
      <c r="E5594" s="149"/>
      <c r="F5594" s="149"/>
      <c r="G5594" s="164">
        <v>0.1</v>
      </c>
      <c r="H5594" s="151"/>
      <c r="I5594" s="146">
        <f>G5594*I5593</f>
        <v>9289.1</v>
      </c>
    </row>
    <row r="5595" spans="2:10" ht="15.95" customHeight="1" thickBot="1" x14ac:dyDescent="0.3">
      <c r="C5595" s="111" t="s">
        <v>394</v>
      </c>
      <c r="D5595" s="112" t="s">
        <v>395</v>
      </c>
      <c r="E5595" s="134"/>
      <c r="F5595" s="134"/>
      <c r="G5595" s="156"/>
      <c r="H5595" s="136">
        <f>IF(AND(D5595&lt;&gt;"",F5595&lt;&gt;""),IF(C5595="",IF(F5595="OH",VLOOKUP(D5595,[1]UPAH!$B$3:$G$32,7,0),VLOOKUP(D5595,[1]BAHAN!$A$2:$D$3,4,0)),0),0)</f>
        <v>0</v>
      </c>
      <c r="I5595" s="137">
        <f>ROUNDDOWN(I5593+I5594,0)</f>
        <v>102180</v>
      </c>
    </row>
    <row r="5596" spans="2:10" ht="15.95" customHeight="1" x14ac:dyDescent="0.25">
      <c r="C5596" s="109"/>
      <c r="D5596" s="109"/>
      <c r="G5596" s="157"/>
    </row>
    <row r="5597" spans="2:10" ht="15.95" customHeight="1" thickBot="1" x14ac:dyDescent="0.3">
      <c r="B5597" s="109" t="s">
        <v>1256</v>
      </c>
      <c r="C5597" s="104" t="s">
        <v>1257</v>
      </c>
      <c r="G5597" s="157"/>
      <c r="J5597" s="110">
        <f>I5613</f>
        <v>102180</v>
      </c>
    </row>
    <row r="5598" spans="2:10" ht="15.95" customHeight="1" thickBot="1" x14ac:dyDescent="0.3">
      <c r="C5598" s="111" t="s">
        <v>328</v>
      </c>
      <c r="D5598" s="112" t="s">
        <v>359</v>
      </c>
      <c r="E5598" s="113" t="s">
        <v>360</v>
      </c>
      <c r="F5598" s="113" t="s">
        <v>330</v>
      </c>
      <c r="G5598" s="114" t="s">
        <v>361</v>
      </c>
      <c r="H5598" s="112" t="s">
        <v>362</v>
      </c>
      <c r="I5598" s="115" t="s">
        <v>363</v>
      </c>
    </row>
    <row r="5599" spans="2:10" ht="15.95" customHeight="1" x14ac:dyDescent="0.25">
      <c r="C5599" s="116" t="s">
        <v>364</v>
      </c>
      <c r="D5599" s="117" t="s">
        <v>365</v>
      </c>
      <c r="E5599" s="118"/>
      <c r="F5599" s="118"/>
      <c r="G5599" s="165"/>
      <c r="H5599" s="144"/>
      <c r="I5599" s="126"/>
    </row>
    <row r="5600" spans="2:10" ht="15.95" customHeight="1" x14ac:dyDescent="0.25">
      <c r="C5600" s="122"/>
      <c r="D5600" s="117" t="s">
        <v>366</v>
      </c>
      <c r="E5600" s="123" t="s">
        <v>367</v>
      </c>
      <c r="F5600" s="123" t="s">
        <v>368</v>
      </c>
      <c r="G5600" s="124">
        <v>8.4000000000000005E-2</v>
      </c>
      <c r="H5600" s="125">
        <f>VLOOKUP(D5600,Upah,8,FALSE)</f>
        <v>125000</v>
      </c>
      <c r="I5600" s="126">
        <f>G5600*H5600</f>
        <v>10500</v>
      </c>
    </row>
    <row r="5601" spans="2:10" ht="15.95" customHeight="1" x14ac:dyDescent="0.25">
      <c r="C5601" s="122"/>
      <c r="D5601" s="117" t="s">
        <v>369</v>
      </c>
      <c r="E5601" s="123" t="s">
        <v>370</v>
      </c>
      <c r="F5601" s="123" t="s">
        <v>368</v>
      </c>
      <c r="G5601" s="124">
        <v>0.125</v>
      </c>
      <c r="H5601" s="125">
        <f>VLOOKUP(D5601,Upah,8,FALSE)</f>
        <v>150000</v>
      </c>
      <c r="I5601" s="126">
        <f>G5601*H5601</f>
        <v>18750</v>
      </c>
    </row>
    <row r="5602" spans="2:10" ht="15.95" customHeight="1" x14ac:dyDescent="0.25">
      <c r="C5602" s="122"/>
      <c r="D5602" s="117" t="s">
        <v>429</v>
      </c>
      <c r="E5602" s="123" t="s">
        <v>372</v>
      </c>
      <c r="F5602" s="123" t="s">
        <v>368</v>
      </c>
      <c r="G5602" s="124">
        <v>1.2999999999999999E-2</v>
      </c>
      <c r="H5602" s="125">
        <f>VLOOKUP(D5602,Upah,8,FALSE)</f>
        <v>165000</v>
      </c>
      <c r="I5602" s="126">
        <f>G5602*H5602</f>
        <v>2145</v>
      </c>
    </row>
    <row r="5603" spans="2:10" ht="15.95" customHeight="1" thickBot="1" x14ac:dyDescent="0.3">
      <c r="C5603" s="122"/>
      <c r="D5603" s="117" t="s">
        <v>373</v>
      </c>
      <c r="E5603" s="123" t="s">
        <v>374</v>
      </c>
      <c r="F5603" s="123" t="s">
        <v>368</v>
      </c>
      <c r="G5603" s="124">
        <v>4.0000000000000001E-3</v>
      </c>
      <c r="H5603" s="125">
        <f>VLOOKUP(D5603,Upah,8,FALSE)</f>
        <v>170000</v>
      </c>
      <c r="I5603" s="126">
        <f>G5603*H5603</f>
        <v>680</v>
      </c>
    </row>
    <row r="5604" spans="2:10" ht="15.95" customHeight="1" thickBot="1" x14ac:dyDescent="0.3">
      <c r="C5604" s="132"/>
      <c r="D5604" s="133"/>
      <c r="E5604" s="134"/>
      <c r="F5604" s="134"/>
      <c r="G5604" s="135" t="s">
        <v>375</v>
      </c>
      <c r="H5604" s="136"/>
      <c r="I5604" s="137">
        <f>SUM(I5600:I5603)</f>
        <v>32075</v>
      </c>
    </row>
    <row r="5605" spans="2:10" ht="15.95" customHeight="1" x14ac:dyDescent="0.25">
      <c r="C5605" s="116" t="s">
        <v>376</v>
      </c>
      <c r="D5605" s="117" t="s">
        <v>377</v>
      </c>
      <c r="E5605" s="118"/>
      <c r="F5605" s="118"/>
      <c r="G5605" s="165"/>
      <c r="H5605" s="144"/>
      <c r="I5605" s="126"/>
    </row>
    <row r="5606" spans="2:10" ht="15.95" customHeight="1" x14ac:dyDescent="0.25">
      <c r="C5606" s="122"/>
      <c r="D5606" s="117" t="s">
        <v>1255</v>
      </c>
      <c r="E5606" s="118"/>
      <c r="F5606" s="123" t="s">
        <v>399</v>
      </c>
      <c r="G5606" s="124">
        <v>1.2</v>
      </c>
      <c r="H5606" s="144">
        <f>VLOOKUP(D5606,Bahan,6,FALSE)</f>
        <v>46480</v>
      </c>
      <c r="I5606" s="126">
        <f>G5606*H5606</f>
        <v>55776</v>
      </c>
    </row>
    <row r="5607" spans="2:10" ht="15.95" customHeight="1" thickBot="1" x14ac:dyDescent="0.3">
      <c r="C5607" s="122"/>
      <c r="D5607" s="117" t="s">
        <v>788</v>
      </c>
      <c r="E5607" s="118"/>
      <c r="F5607" s="123" t="s">
        <v>418</v>
      </c>
      <c r="G5607" s="124">
        <v>6</v>
      </c>
      <c r="H5607" s="144">
        <f>VLOOKUP(D5607,Bahan,6,FALSE)</f>
        <v>840</v>
      </c>
      <c r="I5607" s="126">
        <f>G5607*H5607</f>
        <v>5040</v>
      </c>
    </row>
    <row r="5608" spans="2:10" ht="15.95" customHeight="1" thickBot="1" x14ac:dyDescent="0.3">
      <c r="C5608" s="132"/>
      <c r="D5608" s="133"/>
      <c r="E5608" s="134"/>
      <c r="F5608" s="134"/>
      <c r="G5608" s="135" t="s">
        <v>386</v>
      </c>
      <c r="H5608" s="136"/>
      <c r="I5608" s="137">
        <f>SUM(I5606:I5607)</f>
        <v>60816</v>
      </c>
    </row>
    <row r="5609" spans="2:10" ht="15.95" customHeight="1" thickBot="1" x14ac:dyDescent="0.3">
      <c r="C5609" s="116" t="s">
        <v>387</v>
      </c>
      <c r="D5609" s="117" t="s">
        <v>388</v>
      </c>
      <c r="E5609" s="118"/>
      <c r="F5609" s="118"/>
      <c r="G5609" s="165"/>
      <c r="H5609" s="144">
        <f>IF(AND(D5609&lt;&gt;"",F5609&lt;&gt;""),IF(C5609="",IF(F5609="OH",VLOOKUP(D5609,[1]UPAH!$B$3:$G$32,7,0),VLOOKUP(D5609,[1]BAHAN!$A$2:$D$3,4,0)),0),0)</f>
        <v>0</v>
      </c>
      <c r="I5609" s="126">
        <f>G5609*H5609</f>
        <v>0</v>
      </c>
    </row>
    <row r="5610" spans="2:10" ht="15.95" customHeight="1" thickBot="1" x14ac:dyDescent="0.3">
      <c r="C5610" s="132"/>
      <c r="D5610" s="133"/>
      <c r="E5610" s="134"/>
      <c r="F5610" s="134"/>
      <c r="G5610" s="135" t="s">
        <v>389</v>
      </c>
      <c r="H5610" s="136"/>
      <c r="I5610" s="137">
        <f>I5609</f>
        <v>0</v>
      </c>
    </row>
    <row r="5611" spans="2:10" ht="15.95" customHeight="1" x14ac:dyDescent="0.25">
      <c r="C5611" s="158" t="s">
        <v>390</v>
      </c>
      <c r="D5611" s="159" t="s">
        <v>391</v>
      </c>
      <c r="E5611" s="160"/>
      <c r="F5611" s="160"/>
      <c r="G5611" s="161"/>
      <c r="H5611" s="162">
        <f>IF(AND(D5611&lt;&gt;"",F5611&lt;&gt;""),IF(C5611="",IF(F5611="OH",VLOOKUP(D5611,[1]UPAH!$B$3:$G$32,7,0),VLOOKUP(D5611,[1]BAHAN!$A$2:$D$3,4,0)),0),0)</f>
        <v>0</v>
      </c>
      <c r="I5611" s="126">
        <f>SUM(I5600:I5610)/2</f>
        <v>92891</v>
      </c>
    </row>
    <row r="5612" spans="2:10" ht="15.95" customHeight="1" thickBot="1" x14ac:dyDescent="0.3">
      <c r="C5612" s="147" t="s">
        <v>392</v>
      </c>
      <c r="D5612" s="148" t="s">
        <v>393</v>
      </c>
      <c r="E5612" s="149"/>
      <c r="F5612" s="149"/>
      <c r="G5612" s="164">
        <v>0.1</v>
      </c>
      <c r="H5612" s="151"/>
      <c r="I5612" s="146">
        <f>G5612*I5611</f>
        <v>9289.1</v>
      </c>
    </row>
    <row r="5613" spans="2:10" ht="15.95" customHeight="1" thickBot="1" x14ac:dyDescent="0.3">
      <c r="C5613" s="111" t="s">
        <v>394</v>
      </c>
      <c r="D5613" s="112" t="s">
        <v>395</v>
      </c>
      <c r="E5613" s="134"/>
      <c r="F5613" s="134"/>
      <c r="G5613" s="156"/>
      <c r="H5613" s="136">
        <f>IF(AND(D5613&lt;&gt;"",F5613&lt;&gt;""),IF(C5613="",IF(F5613="OH",VLOOKUP(D5613,[1]UPAH!$B$3:$G$32,7,0),VLOOKUP(D5613,[1]BAHAN!$A$2:$D$3,4,0)),0),0)</f>
        <v>0</v>
      </c>
      <c r="I5613" s="137">
        <f>ROUNDDOWN(I5611+I5612,0)</f>
        <v>102180</v>
      </c>
    </row>
    <row r="5614" spans="2:10" ht="15.95" customHeight="1" x14ac:dyDescent="0.25">
      <c r="C5614" s="109"/>
      <c r="D5614" s="109"/>
      <c r="G5614" s="157"/>
    </row>
    <row r="5615" spans="2:10" ht="15.95" customHeight="1" thickBot="1" x14ac:dyDescent="0.3">
      <c r="B5615" s="109" t="s">
        <v>1258</v>
      </c>
      <c r="C5615" s="104" t="s">
        <v>1259</v>
      </c>
      <c r="G5615" s="157"/>
      <c r="J5615" s="110">
        <f>I5631</f>
        <v>102180</v>
      </c>
    </row>
    <row r="5616" spans="2:10" ht="15.95" customHeight="1" thickBot="1" x14ac:dyDescent="0.3">
      <c r="C5616" s="111" t="s">
        <v>328</v>
      </c>
      <c r="D5616" s="112" t="s">
        <v>359</v>
      </c>
      <c r="E5616" s="113" t="s">
        <v>360</v>
      </c>
      <c r="F5616" s="113" t="s">
        <v>330</v>
      </c>
      <c r="G5616" s="114" t="s">
        <v>361</v>
      </c>
      <c r="H5616" s="112" t="s">
        <v>362</v>
      </c>
      <c r="I5616" s="115" t="s">
        <v>363</v>
      </c>
    </row>
    <row r="5617" spans="3:9" ht="15.95" customHeight="1" x14ac:dyDescent="0.25">
      <c r="C5617" s="116" t="s">
        <v>364</v>
      </c>
      <c r="D5617" s="117" t="s">
        <v>365</v>
      </c>
      <c r="E5617" s="118"/>
      <c r="F5617" s="118"/>
      <c r="G5617" s="165"/>
      <c r="H5617" s="144"/>
      <c r="I5617" s="126"/>
    </row>
    <row r="5618" spans="3:9" ht="15.95" customHeight="1" x14ac:dyDescent="0.25">
      <c r="C5618" s="122"/>
      <c r="D5618" s="117" t="s">
        <v>366</v>
      </c>
      <c r="E5618" s="123" t="s">
        <v>367</v>
      </c>
      <c r="F5618" s="123" t="s">
        <v>368</v>
      </c>
      <c r="G5618" s="124">
        <v>8.4000000000000005E-2</v>
      </c>
      <c r="H5618" s="125">
        <f>VLOOKUP(D5618,Upah,8,FALSE)</f>
        <v>125000</v>
      </c>
      <c r="I5618" s="126">
        <f>G5618*H5618</f>
        <v>10500</v>
      </c>
    </row>
    <row r="5619" spans="3:9" ht="15.95" customHeight="1" x14ac:dyDescent="0.25">
      <c r="C5619" s="122"/>
      <c r="D5619" s="117" t="s">
        <v>369</v>
      </c>
      <c r="E5619" s="123" t="s">
        <v>370</v>
      </c>
      <c r="F5619" s="123" t="s">
        <v>368</v>
      </c>
      <c r="G5619" s="124">
        <v>0.125</v>
      </c>
      <c r="H5619" s="125">
        <f>VLOOKUP(D5619,Upah,8,FALSE)</f>
        <v>150000</v>
      </c>
      <c r="I5619" s="126">
        <f>G5619*H5619</f>
        <v>18750</v>
      </c>
    </row>
    <row r="5620" spans="3:9" ht="15.95" customHeight="1" x14ac:dyDescent="0.25">
      <c r="C5620" s="122"/>
      <c r="D5620" s="117" t="s">
        <v>429</v>
      </c>
      <c r="E5620" s="123" t="s">
        <v>372</v>
      </c>
      <c r="F5620" s="123" t="s">
        <v>368</v>
      </c>
      <c r="G5620" s="124">
        <v>1.2999999999999999E-2</v>
      </c>
      <c r="H5620" s="125">
        <f>VLOOKUP(D5620,Upah,8,FALSE)</f>
        <v>165000</v>
      </c>
      <c r="I5620" s="126">
        <f>G5620*H5620</f>
        <v>2145</v>
      </c>
    </row>
    <row r="5621" spans="3:9" ht="15.95" customHeight="1" thickBot="1" x14ac:dyDescent="0.3">
      <c r="C5621" s="122"/>
      <c r="D5621" s="117" t="s">
        <v>373</v>
      </c>
      <c r="E5621" s="123" t="s">
        <v>374</v>
      </c>
      <c r="F5621" s="123" t="s">
        <v>368</v>
      </c>
      <c r="G5621" s="124">
        <v>4.0000000000000001E-3</v>
      </c>
      <c r="H5621" s="125">
        <f>VLOOKUP(D5621,Upah,8,FALSE)</f>
        <v>170000</v>
      </c>
      <c r="I5621" s="126">
        <f>G5621*H5621</f>
        <v>680</v>
      </c>
    </row>
    <row r="5622" spans="3:9" ht="15.95" customHeight="1" thickBot="1" x14ac:dyDescent="0.3">
      <c r="C5622" s="132"/>
      <c r="D5622" s="133"/>
      <c r="E5622" s="134"/>
      <c r="F5622" s="134"/>
      <c r="G5622" s="135" t="s">
        <v>375</v>
      </c>
      <c r="H5622" s="136"/>
      <c r="I5622" s="137">
        <f>SUM(I5618:I5621)</f>
        <v>32075</v>
      </c>
    </row>
    <row r="5623" spans="3:9" ht="15.95" customHeight="1" x14ac:dyDescent="0.25">
      <c r="C5623" s="116" t="s">
        <v>376</v>
      </c>
      <c r="D5623" s="117" t="s">
        <v>377</v>
      </c>
      <c r="E5623" s="118"/>
      <c r="F5623" s="118"/>
      <c r="G5623" s="165"/>
      <c r="H5623" s="144"/>
      <c r="I5623" s="126"/>
    </row>
    <row r="5624" spans="3:9" ht="15.95" customHeight="1" x14ac:dyDescent="0.25">
      <c r="C5624" s="122"/>
      <c r="D5624" s="117" t="s">
        <v>1255</v>
      </c>
      <c r="E5624" s="118"/>
      <c r="F5624" s="123" t="s">
        <v>399</v>
      </c>
      <c r="G5624" s="124">
        <v>1.2</v>
      </c>
      <c r="H5624" s="144">
        <f>VLOOKUP(D5624,Bahan,6,FALSE)</f>
        <v>46480</v>
      </c>
      <c r="I5624" s="126">
        <f>G5624*H5624</f>
        <v>55776</v>
      </c>
    </row>
    <row r="5625" spans="3:9" ht="15.95" customHeight="1" thickBot="1" x14ac:dyDescent="0.3">
      <c r="C5625" s="122"/>
      <c r="D5625" s="117" t="s">
        <v>788</v>
      </c>
      <c r="E5625" s="118"/>
      <c r="F5625" s="123" t="s">
        <v>418</v>
      </c>
      <c r="G5625" s="124">
        <v>6</v>
      </c>
      <c r="H5625" s="144">
        <f>VLOOKUP(D5625,Bahan,6,FALSE)</f>
        <v>840</v>
      </c>
      <c r="I5625" s="126">
        <f>G5625*H5625</f>
        <v>5040</v>
      </c>
    </row>
    <row r="5626" spans="3:9" ht="15.95" customHeight="1" thickBot="1" x14ac:dyDescent="0.3">
      <c r="C5626" s="132"/>
      <c r="D5626" s="133"/>
      <c r="E5626" s="134"/>
      <c r="F5626" s="134"/>
      <c r="G5626" s="135" t="s">
        <v>386</v>
      </c>
      <c r="H5626" s="136"/>
      <c r="I5626" s="137">
        <f>SUM(I5624:I5625)</f>
        <v>60816</v>
      </c>
    </row>
    <row r="5627" spans="3:9" ht="15.95" customHeight="1" thickBot="1" x14ac:dyDescent="0.3">
      <c r="C5627" s="116" t="s">
        <v>387</v>
      </c>
      <c r="D5627" s="117" t="s">
        <v>388</v>
      </c>
      <c r="E5627" s="118"/>
      <c r="F5627" s="118"/>
      <c r="G5627" s="165"/>
      <c r="H5627" s="144">
        <f>IF(AND(D5627&lt;&gt;"",F5627&lt;&gt;""),IF(C5627="",IF(F5627="OH",VLOOKUP(D5627,[1]UPAH!$B$3:$G$32,7,0),VLOOKUP(D5627,[1]BAHAN!$A$2:$D$3,4,0)),0),0)</f>
        <v>0</v>
      </c>
      <c r="I5627" s="126">
        <f>G5627*H5627</f>
        <v>0</v>
      </c>
    </row>
    <row r="5628" spans="3:9" ht="15.95" customHeight="1" thickBot="1" x14ac:dyDescent="0.3">
      <c r="C5628" s="132"/>
      <c r="D5628" s="133"/>
      <c r="E5628" s="134"/>
      <c r="F5628" s="134"/>
      <c r="G5628" s="135" t="s">
        <v>389</v>
      </c>
      <c r="H5628" s="136"/>
      <c r="I5628" s="137">
        <f>I5627</f>
        <v>0</v>
      </c>
    </row>
    <row r="5629" spans="3:9" ht="15.95" customHeight="1" x14ac:dyDescent="0.25">
      <c r="C5629" s="158" t="s">
        <v>390</v>
      </c>
      <c r="D5629" s="159" t="s">
        <v>391</v>
      </c>
      <c r="E5629" s="160"/>
      <c r="F5629" s="160"/>
      <c r="G5629" s="161"/>
      <c r="H5629" s="162">
        <f>IF(AND(D5629&lt;&gt;"",F5629&lt;&gt;""),IF(C5629="",IF(F5629="OH",VLOOKUP(D5629,[1]UPAH!$B$3:$G$32,7,0),VLOOKUP(D5629,[1]BAHAN!$A$2:$D$3,4,0)),0),0)</f>
        <v>0</v>
      </c>
      <c r="I5629" s="126">
        <f>SUM(I5618:I5628)/2</f>
        <v>92891</v>
      </c>
    </row>
    <row r="5630" spans="3:9" ht="15.95" customHeight="1" thickBot="1" x14ac:dyDescent="0.3">
      <c r="C5630" s="147" t="s">
        <v>392</v>
      </c>
      <c r="D5630" s="148" t="s">
        <v>393</v>
      </c>
      <c r="E5630" s="149"/>
      <c r="F5630" s="149"/>
      <c r="G5630" s="164">
        <v>0.1</v>
      </c>
      <c r="H5630" s="151"/>
      <c r="I5630" s="146">
        <f>G5630*I5629</f>
        <v>9289.1</v>
      </c>
    </row>
    <row r="5631" spans="3:9" ht="15.95" customHeight="1" thickBot="1" x14ac:dyDescent="0.3">
      <c r="C5631" s="111" t="s">
        <v>394</v>
      </c>
      <c r="D5631" s="112" t="s">
        <v>395</v>
      </c>
      <c r="E5631" s="134"/>
      <c r="F5631" s="134"/>
      <c r="G5631" s="156"/>
      <c r="H5631" s="136">
        <f>IF(AND(D5631&lt;&gt;"",F5631&lt;&gt;""),IF(C5631="",IF(F5631="OH",VLOOKUP(D5631,[1]UPAH!$B$3:$G$32,7,0),VLOOKUP(D5631,[1]BAHAN!$A$2:$D$3,4,0)),0),0)</f>
        <v>0</v>
      </c>
      <c r="I5631" s="137">
        <f>ROUNDDOWN(I5629+I5630,0)</f>
        <v>102180</v>
      </c>
    </row>
    <row r="5632" spans="3:9" ht="15.95" customHeight="1" x14ac:dyDescent="0.25">
      <c r="C5632" s="109"/>
      <c r="D5632" s="109"/>
      <c r="G5632" s="157"/>
    </row>
    <row r="5633" spans="2:10" ht="15.95" customHeight="1" thickBot="1" x14ac:dyDescent="0.3">
      <c r="B5633" s="109" t="s">
        <v>1260</v>
      </c>
      <c r="C5633" s="104" t="s">
        <v>1261</v>
      </c>
      <c r="G5633" s="157"/>
      <c r="J5633" s="110">
        <f>I5649</f>
        <v>103392</v>
      </c>
    </row>
    <row r="5634" spans="2:10" ht="15.95" customHeight="1" thickBot="1" x14ac:dyDescent="0.3">
      <c r="C5634" s="111" t="s">
        <v>328</v>
      </c>
      <c r="D5634" s="112" t="s">
        <v>359</v>
      </c>
      <c r="E5634" s="113" t="s">
        <v>360</v>
      </c>
      <c r="F5634" s="113" t="s">
        <v>330</v>
      </c>
      <c r="G5634" s="114" t="s">
        <v>361</v>
      </c>
      <c r="H5634" s="112" t="s">
        <v>362</v>
      </c>
      <c r="I5634" s="115" t="s">
        <v>363</v>
      </c>
    </row>
    <row r="5635" spans="2:10" ht="15.95" customHeight="1" x14ac:dyDescent="0.25">
      <c r="C5635" s="116" t="s">
        <v>364</v>
      </c>
      <c r="D5635" s="117" t="s">
        <v>365</v>
      </c>
      <c r="E5635" s="118"/>
      <c r="F5635" s="118"/>
      <c r="G5635" s="165"/>
      <c r="H5635" s="144"/>
      <c r="I5635" s="126"/>
    </row>
    <row r="5636" spans="2:10" ht="15.95" customHeight="1" x14ac:dyDescent="0.25">
      <c r="C5636" s="122"/>
      <c r="D5636" s="117" t="s">
        <v>366</v>
      </c>
      <c r="E5636" s="123" t="s">
        <v>367</v>
      </c>
      <c r="F5636" s="123" t="s">
        <v>368</v>
      </c>
      <c r="G5636" s="124">
        <v>0.1</v>
      </c>
      <c r="H5636" s="125">
        <f>VLOOKUP(D5636,Upah,8,FALSE)</f>
        <v>125000</v>
      </c>
      <c r="I5636" s="126">
        <f>G5636*H5636</f>
        <v>12500</v>
      </c>
    </row>
    <row r="5637" spans="2:10" ht="15.95" customHeight="1" x14ac:dyDescent="0.25">
      <c r="C5637" s="122"/>
      <c r="D5637" s="117" t="s">
        <v>369</v>
      </c>
      <c r="E5637" s="123" t="s">
        <v>370</v>
      </c>
      <c r="F5637" s="123" t="s">
        <v>368</v>
      </c>
      <c r="G5637" s="124">
        <v>0.15</v>
      </c>
      <c r="H5637" s="125">
        <f>VLOOKUP(D5637,Upah,8,FALSE)</f>
        <v>150000</v>
      </c>
      <c r="I5637" s="126">
        <f>G5637*H5637</f>
        <v>22500</v>
      </c>
    </row>
    <row r="5638" spans="2:10" ht="15.95" customHeight="1" x14ac:dyDescent="0.25">
      <c r="C5638" s="122"/>
      <c r="D5638" s="117" t="s">
        <v>429</v>
      </c>
      <c r="E5638" s="123" t="s">
        <v>372</v>
      </c>
      <c r="F5638" s="123" t="s">
        <v>368</v>
      </c>
      <c r="G5638" s="124">
        <v>1.2999999999999999E-2</v>
      </c>
      <c r="H5638" s="125">
        <f>VLOOKUP(D5638,Upah,8,FALSE)</f>
        <v>165000</v>
      </c>
      <c r="I5638" s="126">
        <f>G5638*H5638</f>
        <v>2145</v>
      </c>
    </row>
    <row r="5639" spans="2:10" ht="15.95" customHeight="1" thickBot="1" x14ac:dyDescent="0.3">
      <c r="C5639" s="122"/>
      <c r="D5639" s="117" t="s">
        <v>373</v>
      </c>
      <c r="E5639" s="123" t="s">
        <v>374</v>
      </c>
      <c r="F5639" s="123" t="s">
        <v>368</v>
      </c>
      <c r="G5639" s="124">
        <v>4.0000000000000001E-3</v>
      </c>
      <c r="H5639" s="125">
        <f>VLOOKUP(D5639,Upah,8,FALSE)</f>
        <v>170000</v>
      </c>
      <c r="I5639" s="126">
        <f>G5639*H5639</f>
        <v>680</v>
      </c>
    </row>
    <row r="5640" spans="2:10" ht="15.95" customHeight="1" thickBot="1" x14ac:dyDescent="0.3">
      <c r="C5640" s="132"/>
      <c r="D5640" s="133"/>
      <c r="E5640" s="134"/>
      <c r="F5640" s="134"/>
      <c r="G5640" s="135" t="s">
        <v>375</v>
      </c>
      <c r="H5640" s="136"/>
      <c r="I5640" s="137">
        <f>SUM(I5636:I5639)</f>
        <v>37825</v>
      </c>
    </row>
    <row r="5641" spans="2:10" ht="15.95" customHeight="1" x14ac:dyDescent="0.25">
      <c r="C5641" s="116" t="s">
        <v>376</v>
      </c>
      <c r="D5641" s="117" t="s">
        <v>377</v>
      </c>
      <c r="E5641" s="118"/>
      <c r="F5641" s="118"/>
      <c r="G5641" s="165"/>
      <c r="H5641" s="144"/>
      <c r="I5641" s="126"/>
    </row>
    <row r="5642" spans="2:10" ht="15.95" customHeight="1" x14ac:dyDescent="0.25">
      <c r="C5642" s="122"/>
      <c r="D5642" s="117" t="s">
        <v>1255</v>
      </c>
      <c r="E5642" s="118"/>
      <c r="F5642" s="123" t="s">
        <v>399</v>
      </c>
      <c r="G5642" s="124">
        <v>1.1000000000000001</v>
      </c>
      <c r="H5642" s="144">
        <f>VLOOKUP(D5642,Bahan,6,FALSE)</f>
        <v>46480</v>
      </c>
      <c r="I5642" s="126">
        <f>G5642*H5642</f>
        <v>51128.000000000007</v>
      </c>
    </row>
    <row r="5643" spans="2:10" ht="15.95" customHeight="1" thickBot="1" x14ac:dyDescent="0.3">
      <c r="C5643" s="122"/>
      <c r="D5643" s="117" t="s">
        <v>788</v>
      </c>
      <c r="E5643" s="118"/>
      <c r="F5643" s="123" t="s">
        <v>418</v>
      </c>
      <c r="G5643" s="124">
        <v>6</v>
      </c>
      <c r="H5643" s="144">
        <f>VLOOKUP(D5643,Bahan,6,FALSE)</f>
        <v>840</v>
      </c>
      <c r="I5643" s="126">
        <f>G5643*H5643</f>
        <v>5040</v>
      </c>
    </row>
    <row r="5644" spans="2:10" ht="15.95" customHeight="1" thickBot="1" x14ac:dyDescent="0.3">
      <c r="C5644" s="132"/>
      <c r="D5644" s="133"/>
      <c r="E5644" s="134"/>
      <c r="F5644" s="134"/>
      <c r="G5644" s="135" t="s">
        <v>386</v>
      </c>
      <c r="H5644" s="136"/>
      <c r="I5644" s="137">
        <f>SUM(I5642:I5643)</f>
        <v>56168.000000000007</v>
      </c>
    </row>
    <row r="5645" spans="2:10" ht="15.95" customHeight="1" thickBot="1" x14ac:dyDescent="0.3">
      <c r="C5645" s="116" t="s">
        <v>387</v>
      </c>
      <c r="D5645" s="117" t="s">
        <v>388</v>
      </c>
      <c r="E5645" s="118"/>
      <c r="F5645" s="118"/>
      <c r="G5645" s="165"/>
      <c r="H5645" s="144">
        <f>IF(AND(D5645&lt;&gt;"",F5645&lt;&gt;""),IF(C5645="",IF(F5645="OH",VLOOKUP(D5645,[1]UPAH!$B$3:$G$32,7,0),VLOOKUP(D5645,[1]BAHAN!$A$2:$D$3,4,0)),0),0)</f>
        <v>0</v>
      </c>
      <c r="I5645" s="126">
        <f>G5645*H5645</f>
        <v>0</v>
      </c>
    </row>
    <row r="5646" spans="2:10" ht="15.95" customHeight="1" thickBot="1" x14ac:dyDescent="0.3">
      <c r="C5646" s="132"/>
      <c r="D5646" s="133"/>
      <c r="E5646" s="134"/>
      <c r="F5646" s="134"/>
      <c r="G5646" s="135" t="s">
        <v>389</v>
      </c>
      <c r="H5646" s="136"/>
      <c r="I5646" s="137">
        <f>I5645</f>
        <v>0</v>
      </c>
    </row>
    <row r="5647" spans="2:10" ht="15.95" customHeight="1" x14ac:dyDescent="0.25">
      <c r="C5647" s="158" t="s">
        <v>390</v>
      </c>
      <c r="D5647" s="159" t="s">
        <v>391</v>
      </c>
      <c r="E5647" s="160"/>
      <c r="F5647" s="160"/>
      <c r="G5647" s="161"/>
      <c r="H5647" s="162">
        <f>IF(AND(D5647&lt;&gt;"",F5647&lt;&gt;""),IF(C5647="",IF(F5647="OH",VLOOKUP(D5647,[1]UPAH!$B$3:$G$32,7,0),VLOOKUP(D5647,[1]BAHAN!$A$2:$D$3,4,0)),0),0)</f>
        <v>0</v>
      </c>
      <c r="I5647" s="126">
        <f>SUM(I5636:I5646)/2</f>
        <v>93993</v>
      </c>
    </row>
    <row r="5648" spans="2:10" ht="15.95" customHeight="1" thickBot="1" x14ac:dyDescent="0.3">
      <c r="C5648" s="147" t="s">
        <v>392</v>
      </c>
      <c r="D5648" s="148" t="s">
        <v>393</v>
      </c>
      <c r="E5648" s="149"/>
      <c r="F5648" s="149"/>
      <c r="G5648" s="164">
        <v>0.1</v>
      </c>
      <c r="H5648" s="151"/>
      <c r="I5648" s="146">
        <f>G5648*I5647</f>
        <v>9399.3000000000011</v>
      </c>
    </row>
    <row r="5649" spans="2:10" ht="15.95" customHeight="1" thickBot="1" x14ac:dyDescent="0.3">
      <c r="C5649" s="111" t="s">
        <v>394</v>
      </c>
      <c r="D5649" s="112" t="s">
        <v>395</v>
      </c>
      <c r="E5649" s="134"/>
      <c r="F5649" s="134"/>
      <c r="G5649" s="156"/>
      <c r="H5649" s="136">
        <f>IF(AND(D5649&lt;&gt;"",F5649&lt;&gt;""),IF(C5649="",IF(F5649="OH",VLOOKUP(D5649,[1]UPAH!$B$3:$G$32,7,0),VLOOKUP(D5649,[1]BAHAN!$A$2:$D$3,4,0)),0),0)</f>
        <v>0</v>
      </c>
      <c r="I5649" s="137">
        <f>ROUNDDOWN(I5647+I5648,0)</f>
        <v>103392</v>
      </c>
    </row>
    <row r="5650" spans="2:10" ht="15.95" customHeight="1" x14ac:dyDescent="0.25">
      <c r="C5650" s="109"/>
      <c r="D5650" s="109"/>
      <c r="G5650" s="157"/>
    </row>
    <row r="5651" spans="2:10" ht="15.95" customHeight="1" thickBot="1" x14ac:dyDescent="0.3">
      <c r="B5651" s="109" t="s">
        <v>1262</v>
      </c>
      <c r="C5651" s="104" t="s">
        <v>1263</v>
      </c>
      <c r="G5651" s="157"/>
      <c r="J5651" s="110">
        <f>I5667</f>
        <v>97067</v>
      </c>
    </row>
    <row r="5652" spans="2:10" ht="15.95" customHeight="1" thickBot="1" x14ac:dyDescent="0.3">
      <c r="C5652" s="111" t="s">
        <v>328</v>
      </c>
      <c r="D5652" s="112" t="s">
        <v>359</v>
      </c>
      <c r="E5652" s="113" t="s">
        <v>360</v>
      </c>
      <c r="F5652" s="113" t="s">
        <v>330</v>
      </c>
      <c r="G5652" s="114" t="s">
        <v>361</v>
      </c>
      <c r="H5652" s="112" t="s">
        <v>362</v>
      </c>
      <c r="I5652" s="115" t="s">
        <v>363</v>
      </c>
    </row>
    <row r="5653" spans="2:10" ht="15.95" customHeight="1" x14ac:dyDescent="0.25">
      <c r="C5653" s="116" t="s">
        <v>364</v>
      </c>
      <c r="D5653" s="117" t="s">
        <v>365</v>
      </c>
      <c r="E5653" s="118"/>
      <c r="F5653" s="118"/>
      <c r="G5653" s="165"/>
      <c r="H5653" s="144"/>
      <c r="I5653" s="126"/>
    </row>
    <row r="5654" spans="2:10" ht="15.95" customHeight="1" x14ac:dyDescent="0.25">
      <c r="C5654" s="122"/>
      <c r="D5654" s="117" t="s">
        <v>366</v>
      </c>
      <c r="E5654" s="123" t="s">
        <v>367</v>
      </c>
      <c r="F5654" s="123" t="s">
        <v>368</v>
      </c>
      <c r="G5654" s="124">
        <v>8.4000000000000005E-2</v>
      </c>
      <c r="H5654" s="125">
        <f>VLOOKUP(D5654,Upah,8,FALSE)</f>
        <v>125000</v>
      </c>
      <c r="I5654" s="126">
        <f>G5654*H5654</f>
        <v>10500</v>
      </c>
    </row>
    <row r="5655" spans="2:10" ht="15.95" customHeight="1" x14ac:dyDescent="0.25">
      <c r="C5655" s="122"/>
      <c r="D5655" s="117" t="s">
        <v>369</v>
      </c>
      <c r="E5655" s="123" t="s">
        <v>370</v>
      </c>
      <c r="F5655" s="123" t="s">
        <v>368</v>
      </c>
      <c r="G5655" s="124">
        <v>0.125</v>
      </c>
      <c r="H5655" s="125">
        <f>VLOOKUP(D5655,Upah,8,FALSE)</f>
        <v>150000</v>
      </c>
      <c r="I5655" s="126">
        <f>G5655*H5655</f>
        <v>18750</v>
      </c>
    </row>
    <row r="5656" spans="2:10" ht="15.95" customHeight="1" x14ac:dyDescent="0.25">
      <c r="C5656" s="122"/>
      <c r="D5656" s="117" t="s">
        <v>429</v>
      </c>
      <c r="E5656" s="123" t="s">
        <v>372</v>
      </c>
      <c r="F5656" s="123" t="s">
        <v>368</v>
      </c>
      <c r="G5656" s="124">
        <v>1.2999999999999999E-2</v>
      </c>
      <c r="H5656" s="125">
        <f>VLOOKUP(D5656,Upah,8,FALSE)</f>
        <v>165000</v>
      </c>
      <c r="I5656" s="126">
        <f>G5656*H5656</f>
        <v>2145</v>
      </c>
    </row>
    <row r="5657" spans="2:10" ht="15.95" customHeight="1" thickBot="1" x14ac:dyDescent="0.3">
      <c r="C5657" s="122"/>
      <c r="D5657" s="117" t="s">
        <v>373</v>
      </c>
      <c r="E5657" s="123" t="s">
        <v>374</v>
      </c>
      <c r="F5657" s="123" t="s">
        <v>368</v>
      </c>
      <c r="G5657" s="124">
        <v>4.0000000000000001E-3</v>
      </c>
      <c r="H5657" s="125">
        <f>VLOOKUP(D5657,Upah,8,FALSE)</f>
        <v>170000</v>
      </c>
      <c r="I5657" s="126">
        <f>G5657*H5657</f>
        <v>680</v>
      </c>
    </row>
    <row r="5658" spans="2:10" ht="15.95" customHeight="1" thickBot="1" x14ac:dyDescent="0.3">
      <c r="C5658" s="132"/>
      <c r="D5658" s="133"/>
      <c r="E5658" s="134"/>
      <c r="F5658" s="134"/>
      <c r="G5658" s="135" t="s">
        <v>375</v>
      </c>
      <c r="H5658" s="136"/>
      <c r="I5658" s="137">
        <f>SUM(I5654:I5657)</f>
        <v>32075</v>
      </c>
    </row>
    <row r="5659" spans="2:10" ht="15.95" customHeight="1" x14ac:dyDescent="0.25">
      <c r="C5659" s="116" t="s">
        <v>376</v>
      </c>
      <c r="D5659" s="117" t="s">
        <v>377</v>
      </c>
      <c r="E5659" s="118"/>
      <c r="F5659" s="118"/>
      <c r="G5659" s="165"/>
      <c r="H5659" s="144"/>
      <c r="I5659" s="126"/>
    </row>
    <row r="5660" spans="2:10" ht="15.95" customHeight="1" x14ac:dyDescent="0.25">
      <c r="C5660" s="122"/>
      <c r="D5660" s="117" t="s">
        <v>1255</v>
      </c>
      <c r="E5660" s="118"/>
      <c r="F5660" s="123" t="s">
        <v>399</v>
      </c>
      <c r="G5660" s="124">
        <v>1.1000000000000001</v>
      </c>
      <c r="H5660" s="144">
        <f>VLOOKUP(D5660,Bahan,6,FALSE)</f>
        <v>46480</v>
      </c>
      <c r="I5660" s="126">
        <f>G5660*H5660</f>
        <v>51128.000000000007</v>
      </c>
    </row>
    <row r="5661" spans="2:10" ht="15.95" customHeight="1" thickBot="1" x14ac:dyDescent="0.3">
      <c r="C5661" s="122"/>
      <c r="D5661" s="117" t="s">
        <v>788</v>
      </c>
      <c r="E5661" s="118"/>
      <c r="F5661" s="123" t="s">
        <v>418</v>
      </c>
      <c r="G5661" s="124">
        <v>6</v>
      </c>
      <c r="H5661" s="144">
        <f>VLOOKUP(D5661,Bahan,6,FALSE)</f>
        <v>840</v>
      </c>
      <c r="I5661" s="126">
        <f>G5661*H5661</f>
        <v>5040</v>
      </c>
    </row>
    <row r="5662" spans="2:10" ht="15.95" customHeight="1" thickBot="1" x14ac:dyDescent="0.3">
      <c r="C5662" s="132"/>
      <c r="D5662" s="133"/>
      <c r="E5662" s="134"/>
      <c r="F5662" s="134"/>
      <c r="G5662" s="135" t="s">
        <v>386</v>
      </c>
      <c r="H5662" s="136"/>
      <c r="I5662" s="137">
        <f>SUM(I5660:I5661)</f>
        <v>56168.000000000007</v>
      </c>
    </row>
    <row r="5663" spans="2:10" ht="15.95" customHeight="1" thickBot="1" x14ac:dyDescent="0.3">
      <c r="C5663" s="116" t="s">
        <v>387</v>
      </c>
      <c r="D5663" s="117" t="s">
        <v>388</v>
      </c>
      <c r="E5663" s="118"/>
      <c r="F5663" s="118"/>
      <c r="G5663" s="165"/>
      <c r="H5663" s="144">
        <f>IF(AND(D5663&lt;&gt;"",F5663&lt;&gt;""),IF(C5663="",IF(F5663="OH",VLOOKUP(D5663,[1]UPAH!$B$3:$G$32,7,0),VLOOKUP(D5663,[1]BAHAN!$A$2:$D$3,4,0)),0),0)</f>
        <v>0</v>
      </c>
      <c r="I5663" s="126">
        <f>G5663*H5663</f>
        <v>0</v>
      </c>
    </row>
    <row r="5664" spans="2:10" ht="15.95" customHeight="1" thickBot="1" x14ac:dyDescent="0.3">
      <c r="C5664" s="132"/>
      <c r="D5664" s="133"/>
      <c r="E5664" s="134"/>
      <c r="F5664" s="134"/>
      <c r="G5664" s="135" t="s">
        <v>389</v>
      </c>
      <c r="H5664" s="136"/>
      <c r="I5664" s="137">
        <f>I5663</f>
        <v>0</v>
      </c>
    </row>
    <row r="5665" spans="2:10" ht="15.95" customHeight="1" x14ac:dyDescent="0.25">
      <c r="C5665" s="158" t="s">
        <v>390</v>
      </c>
      <c r="D5665" s="159" t="s">
        <v>391</v>
      </c>
      <c r="E5665" s="160"/>
      <c r="F5665" s="160"/>
      <c r="G5665" s="161"/>
      <c r="H5665" s="162">
        <f>IF(AND(D5665&lt;&gt;"",F5665&lt;&gt;""),IF(C5665="",IF(F5665="OH",VLOOKUP(D5665,[1]UPAH!$B$3:$G$32,7,0),VLOOKUP(D5665,[1]BAHAN!$A$2:$D$3,4,0)),0),0)</f>
        <v>0</v>
      </c>
      <c r="I5665" s="126">
        <f>SUM(I5654:I5664)/2</f>
        <v>88243</v>
      </c>
    </row>
    <row r="5666" spans="2:10" ht="15.95" customHeight="1" thickBot="1" x14ac:dyDescent="0.3">
      <c r="C5666" s="147" t="s">
        <v>392</v>
      </c>
      <c r="D5666" s="148" t="s">
        <v>393</v>
      </c>
      <c r="E5666" s="149"/>
      <c r="F5666" s="149"/>
      <c r="G5666" s="164">
        <v>0.1</v>
      </c>
      <c r="H5666" s="151"/>
      <c r="I5666" s="146">
        <f>G5666*I5665</f>
        <v>8824.3000000000011</v>
      </c>
    </row>
    <row r="5667" spans="2:10" ht="15.95" customHeight="1" thickBot="1" x14ac:dyDescent="0.3">
      <c r="C5667" s="111" t="s">
        <v>394</v>
      </c>
      <c r="D5667" s="112" t="s">
        <v>395</v>
      </c>
      <c r="E5667" s="134"/>
      <c r="F5667" s="134"/>
      <c r="G5667" s="156"/>
      <c r="H5667" s="136">
        <f>IF(AND(D5667&lt;&gt;"",F5667&lt;&gt;""),IF(C5667="",IF(F5667="OH",VLOOKUP(D5667,[1]UPAH!$B$3:$G$32,7,0),VLOOKUP(D5667,[1]BAHAN!$A$2:$D$3,4,0)),0),0)</f>
        <v>0</v>
      </c>
      <c r="I5667" s="137">
        <f>ROUNDDOWN(I5665+I5666,0)</f>
        <v>97067</v>
      </c>
    </row>
    <row r="5668" spans="2:10" ht="15.95" customHeight="1" x14ac:dyDescent="0.25">
      <c r="C5668" s="109"/>
      <c r="D5668" s="109"/>
      <c r="G5668" s="157"/>
    </row>
    <row r="5669" spans="2:10" ht="15.95" customHeight="1" thickBot="1" x14ac:dyDescent="0.3">
      <c r="B5669" s="109" t="s">
        <v>1264</v>
      </c>
      <c r="C5669" s="104" t="s">
        <v>1265</v>
      </c>
      <c r="G5669" s="157"/>
      <c r="J5669" s="110">
        <f>I5685</f>
        <v>83940</v>
      </c>
    </row>
    <row r="5670" spans="2:10" ht="15.95" customHeight="1" thickBot="1" x14ac:dyDescent="0.3">
      <c r="C5670" s="111" t="s">
        <v>328</v>
      </c>
      <c r="D5670" s="112" t="s">
        <v>359</v>
      </c>
      <c r="E5670" s="113" t="s">
        <v>360</v>
      </c>
      <c r="F5670" s="113" t="s">
        <v>330</v>
      </c>
      <c r="G5670" s="114" t="s">
        <v>361</v>
      </c>
      <c r="H5670" s="112" t="s">
        <v>362</v>
      </c>
      <c r="I5670" s="115" t="s">
        <v>363</v>
      </c>
    </row>
    <row r="5671" spans="2:10" ht="15.95" customHeight="1" x14ac:dyDescent="0.25">
      <c r="C5671" s="116" t="s">
        <v>364</v>
      </c>
      <c r="D5671" s="117" t="s">
        <v>365</v>
      </c>
      <c r="E5671" s="118"/>
      <c r="F5671" s="118"/>
      <c r="G5671" s="165"/>
      <c r="H5671" s="144"/>
      <c r="I5671" s="126"/>
    </row>
    <row r="5672" spans="2:10" ht="15.95" customHeight="1" x14ac:dyDescent="0.25">
      <c r="C5672" s="122"/>
      <c r="D5672" s="117" t="s">
        <v>366</v>
      </c>
      <c r="E5672" s="123" t="s">
        <v>367</v>
      </c>
      <c r="F5672" s="123" t="s">
        <v>368</v>
      </c>
      <c r="G5672" s="124">
        <v>0.2</v>
      </c>
      <c r="H5672" s="125">
        <f>VLOOKUP(D5672,Upah,8,FALSE)</f>
        <v>125000</v>
      </c>
      <c r="I5672" s="126">
        <f>G5672*H5672</f>
        <v>25000</v>
      </c>
    </row>
    <row r="5673" spans="2:10" ht="15.95" customHeight="1" x14ac:dyDescent="0.25">
      <c r="C5673" s="122"/>
      <c r="D5673" s="117" t="s">
        <v>369</v>
      </c>
      <c r="E5673" s="123" t="s">
        <v>370</v>
      </c>
      <c r="F5673" s="123" t="s">
        <v>368</v>
      </c>
      <c r="G5673" s="124">
        <v>0.1</v>
      </c>
      <c r="H5673" s="125">
        <f>VLOOKUP(D5673,Upah,8,FALSE)</f>
        <v>150000</v>
      </c>
      <c r="I5673" s="126">
        <f>G5673*H5673</f>
        <v>15000</v>
      </c>
    </row>
    <row r="5674" spans="2:10" ht="15.95" customHeight="1" x14ac:dyDescent="0.25">
      <c r="C5674" s="122"/>
      <c r="D5674" s="117" t="s">
        <v>429</v>
      </c>
      <c r="E5674" s="123" t="s">
        <v>372</v>
      </c>
      <c r="F5674" s="123" t="s">
        <v>368</v>
      </c>
      <c r="G5674" s="124">
        <v>0.01</v>
      </c>
      <c r="H5674" s="125">
        <f>VLOOKUP(D5674,Upah,8,FALSE)</f>
        <v>165000</v>
      </c>
      <c r="I5674" s="126">
        <f>G5674*H5674</f>
        <v>1650</v>
      </c>
    </row>
    <row r="5675" spans="2:10" ht="15.95" customHeight="1" thickBot="1" x14ac:dyDescent="0.3">
      <c r="C5675" s="122"/>
      <c r="D5675" s="117" t="s">
        <v>373</v>
      </c>
      <c r="E5675" s="123" t="s">
        <v>374</v>
      </c>
      <c r="F5675" s="123" t="s">
        <v>368</v>
      </c>
      <c r="G5675" s="124">
        <v>0.01</v>
      </c>
      <c r="H5675" s="125">
        <f>VLOOKUP(D5675,Upah,8,FALSE)</f>
        <v>170000</v>
      </c>
      <c r="I5675" s="126">
        <f>G5675*H5675</f>
        <v>1700</v>
      </c>
    </row>
    <row r="5676" spans="2:10" ht="15.95" customHeight="1" thickBot="1" x14ac:dyDescent="0.3">
      <c r="C5676" s="132"/>
      <c r="D5676" s="133"/>
      <c r="E5676" s="134"/>
      <c r="F5676" s="134"/>
      <c r="G5676" s="135" t="s">
        <v>375</v>
      </c>
      <c r="H5676" s="136"/>
      <c r="I5676" s="137">
        <f>SUM(I5672:I5675)</f>
        <v>43350</v>
      </c>
    </row>
    <row r="5677" spans="2:10" ht="15.95" customHeight="1" x14ac:dyDescent="0.25">
      <c r="C5677" s="116" t="s">
        <v>376</v>
      </c>
      <c r="D5677" s="117" t="s">
        <v>377</v>
      </c>
      <c r="E5677" s="118"/>
      <c r="F5677" s="118"/>
      <c r="G5677" s="165"/>
      <c r="H5677" s="144"/>
      <c r="I5677" s="126"/>
    </row>
    <row r="5678" spans="2:10" ht="15.95" customHeight="1" x14ac:dyDescent="0.25">
      <c r="C5678" s="122"/>
      <c r="D5678" s="117" t="s">
        <v>1266</v>
      </c>
      <c r="E5678" s="118"/>
      <c r="F5678" s="123" t="s">
        <v>418</v>
      </c>
      <c r="G5678" s="124">
        <v>11</v>
      </c>
      <c r="H5678" s="144">
        <f>VLOOKUP(D5678,Bahan,6,FALSE)</f>
        <v>2920</v>
      </c>
      <c r="I5678" s="126">
        <f>G5678*H5678</f>
        <v>32120</v>
      </c>
    </row>
    <row r="5679" spans="2:10" ht="15.95" customHeight="1" thickBot="1" x14ac:dyDescent="0.3">
      <c r="C5679" s="122"/>
      <c r="D5679" s="117" t="s">
        <v>613</v>
      </c>
      <c r="E5679" s="118"/>
      <c r="F5679" s="123" t="s">
        <v>159</v>
      </c>
      <c r="G5679" s="124">
        <v>0.03</v>
      </c>
      <c r="H5679" s="144">
        <f>VLOOKUP(D5679,Bahan,6,FALSE)</f>
        <v>27970</v>
      </c>
      <c r="I5679" s="126">
        <f>G5679*H5679</f>
        <v>839.1</v>
      </c>
    </row>
    <row r="5680" spans="2:10" ht="15.95" customHeight="1" thickBot="1" x14ac:dyDescent="0.3">
      <c r="C5680" s="132"/>
      <c r="D5680" s="133"/>
      <c r="E5680" s="134"/>
      <c r="F5680" s="134"/>
      <c r="G5680" s="135" t="s">
        <v>386</v>
      </c>
      <c r="H5680" s="136"/>
      <c r="I5680" s="137">
        <f>SUM(I5678:I5679)</f>
        <v>32959.1</v>
      </c>
    </row>
    <row r="5681" spans="2:10" ht="15.95" customHeight="1" thickBot="1" x14ac:dyDescent="0.3">
      <c r="C5681" s="116" t="s">
        <v>387</v>
      </c>
      <c r="D5681" s="117" t="s">
        <v>388</v>
      </c>
      <c r="E5681" s="118"/>
      <c r="F5681" s="118"/>
      <c r="G5681" s="165"/>
      <c r="H5681" s="144">
        <f>IF(AND(D5681&lt;&gt;"",F5681&lt;&gt;""),IF(C5681="",IF(F5681="OH",VLOOKUP(D5681,[1]UPAH!$B$3:$G$32,7,0),VLOOKUP(D5681,[1]BAHAN!$A$2:$D$3,4,0)),0),0)</f>
        <v>0</v>
      </c>
      <c r="I5681" s="126">
        <f>G5681*H5681</f>
        <v>0</v>
      </c>
    </row>
    <row r="5682" spans="2:10" ht="15.95" customHeight="1" thickBot="1" x14ac:dyDescent="0.3">
      <c r="C5682" s="132"/>
      <c r="D5682" s="133"/>
      <c r="E5682" s="134"/>
      <c r="F5682" s="134"/>
      <c r="G5682" s="135" t="s">
        <v>389</v>
      </c>
      <c r="H5682" s="136"/>
      <c r="I5682" s="137">
        <f>I5681</f>
        <v>0</v>
      </c>
    </row>
    <row r="5683" spans="2:10" ht="15.95" customHeight="1" x14ac:dyDescent="0.25">
      <c r="C5683" s="158" t="s">
        <v>390</v>
      </c>
      <c r="D5683" s="159" t="s">
        <v>391</v>
      </c>
      <c r="E5683" s="160"/>
      <c r="F5683" s="160"/>
      <c r="G5683" s="161"/>
      <c r="H5683" s="162">
        <f>IF(AND(D5683&lt;&gt;"",F5683&lt;&gt;""),IF(C5683="",IF(F5683="OH",VLOOKUP(D5683,[1]UPAH!$B$3:$G$32,7,0),VLOOKUP(D5683,[1]BAHAN!$A$2:$D$3,4,0)),0),0)</f>
        <v>0</v>
      </c>
      <c r="I5683" s="126">
        <f>SUM(I5672:I5682)/2</f>
        <v>76309.100000000006</v>
      </c>
    </row>
    <row r="5684" spans="2:10" ht="15.95" customHeight="1" thickBot="1" x14ac:dyDescent="0.3">
      <c r="C5684" s="147" t="s">
        <v>392</v>
      </c>
      <c r="D5684" s="148" t="s">
        <v>393</v>
      </c>
      <c r="E5684" s="149"/>
      <c r="F5684" s="149"/>
      <c r="G5684" s="164">
        <v>0.1</v>
      </c>
      <c r="H5684" s="151"/>
      <c r="I5684" s="146">
        <f>G5684*I5683</f>
        <v>7630.9100000000008</v>
      </c>
    </row>
    <row r="5685" spans="2:10" ht="15.95" customHeight="1" thickBot="1" x14ac:dyDescent="0.3">
      <c r="C5685" s="111" t="s">
        <v>394</v>
      </c>
      <c r="D5685" s="112" t="s">
        <v>395</v>
      </c>
      <c r="E5685" s="134"/>
      <c r="F5685" s="134"/>
      <c r="G5685" s="156"/>
      <c r="H5685" s="136">
        <f>IF(AND(D5685&lt;&gt;"",F5685&lt;&gt;""),IF(C5685="",IF(F5685="OH",VLOOKUP(D5685,[1]UPAH!$B$3:$G$32,7,0),VLOOKUP(D5685,[1]BAHAN!$A$2:$D$3,4,0)),0),0)</f>
        <v>0</v>
      </c>
      <c r="I5685" s="137">
        <f>ROUNDDOWN(I5683+I5684,0)</f>
        <v>83940</v>
      </c>
    </row>
    <row r="5686" spans="2:10" ht="15.95" customHeight="1" x14ac:dyDescent="0.25">
      <c r="C5686" s="109"/>
      <c r="D5686" s="109"/>
      <c r="G5686" s="157"/>
    </row>
    <row r="5687" spans="2:10" ht="15.95" customHeight="1" thickBot="1" x14ac:dyDescent="0.3">
      <c r="B5687" s="109" t="s">
        <v>1267</v>
      </c>
      <c r="C5687" s="104" t="s">
        <v>1268</v>
      </c>
      <c r="G5687" s="157"/>
      <c r="J5687" s="110">
        <f>I5705</f>
        <v>160927</v>
      </c>
    </row>
    <row r="5688" spans="2:10" ht="15.95" customHeight="1" thickBot="1" x14ac:dyDescent="0.3">
      <c r="C5688" s="111" t="s">
        <v>328</v>
      </c>
      <c r="D5688" s="112" t="s">
        <v>359</v>
      </c>
      <c r="E5688" s="113" t="s">
        <v>360</v>
      </c>
      <c r="F5688" s="113" t="s">
        <v>330</v>
      </c>
      <c r="G5688" s="114" t="s">
        <v>361</v>
      </c>
      <c r="H5688" s="112" t="s">
        <v>362</v>
      </c>
      <c r="I5688" s="115" t="s">
        <v>363</v>
      </c>
    </row>
    <row r="5689" spans="2:10" ht="15.95" customHeight="1" x14ac:dyDescent="0.25">
      <c r="C5689" s="116" t="s">
        <v>364</v>
      </c>
      <c r="D5689" s="117" t="s">
        <v>365</v>
      </c>
      <c r="E5689" s="118"/>
      <c r="F5689" s="118"/>
      <c r="G5689" s="165"/>
      <c r="H5689" s="144"/>
      <c r="I5689" s="126"/>
    </row>
    <row r="5690" spans="2:10" ht="15.95" customHeight="1" x14ac:dyDescent="0.25">
      <c r="C5690" s="122"/>
      <c r="D5690" s="117" t="s">
        <v>366</v>
      </c>
      <c r="E5690" s="123" t="s">
        <v>367</v>
      </c>
      <c r="F5690" s="123" t="s">
        <v>368</v>
      </c>
      <c r="G5690" s="124">
        <v>0.2</v>
      </c>
      <c r="H5690" s="125">
        <f>VLOOKUP(D5690,Upah,8,FALSE)</f>
        <v>125000</v>
      </c>
      <c r="I5690" s="126">
        <f>G5690*H5690</f>
        <v>25000</v>
      </c>
    </row>
    <row r="5691" spans="2:10" ht="15.95" customHeight="1" x14ac:dyDescent="0.25">
      <c r="C5691" s="122"/>
      <c r="D5691" s="117" t="s">
        <v>369</v>
      </c>
      <c r="E5691" s="123" t="s">
        <v>370</v>
      </c>
      <c r="F5691" s="123" t="s">
        <v>368</v>
      </c>
      <c r="G5691" s="124">
        <v>0.3</v>
      </c>
      <c r="H5691" s="125">
        <f>VLOOKUP(D5691,Upah,8,FALSE)</f>
        <v>150000</v>
      </c>
      <c r="I5691" s="126">
        <f>G5691*H5691</f>
        <v>45000</v>
      </c>
    </row>
    <row r="5692" spans="2:10" ht="15.95" customHeight="1" x14ac:dyDescent="0.25">
      <c r="C5692" s="122"/>
      <c r="D5692" s="117" t="s">
        <v>429</v>
      </c>
      <c r="E5692" s="123" t="s">
        <v>372</v>
      </c>
      <c r="F5692" s="123" t="s">
        <v>368</v>
      </c>
      <c r="G5692" s="124">
        <v>3.0000000000000001E-3</v>
      </c>
      <c r="H5692" s="125">
        <f>VLOOKUP(D5692,Upah,8,FALSE)</f>
        <v>165000</v>
      </c>
      <c r="I5692" s="126">
        <f>G5692*H5692</f>
        <v>495</v>
      </c>
    </row>
    <row r="5693" spans="2:10" ht="15.95" customHeight="1" thickBot="1" x14ac:dyDescent="0.3">
      <c r="C5693" s="122"/>
      <c r="D5693" s="117" t="s">
        <v>373</v>
      </c>
      <c r="E5693" s="123" t="s">
        <v>374</v>
      </c>
      <c r="F5693" s="123" t="s">
        <v>368</v>
      </c>
      <c r="G5693" s="124">
        <v>0.01</v>
      </c>
      <c r="H5693" s="125">
        <f>VLOOKUP(D5693,Upah,8,FALSE)</f>
        <v>170000</v>
      </c>
      <c r="I5693" s="126">
        <f>G5693*H5693</f>
        <v>1700</v>
      </c>
    </row>
    <row r="5694" spans="2:10" ht="15.95" customHeight="1" thickBot="1" x14ac:dyDescent="0.3">
      <c r="C5694" s="132"/>
      <c r="D5694" s="133"/>
      <c r="E5694" s="134"/>
      <c r="F5694" s="134"/>
      <c r="G5694" s="135" t="s">
        <v>375</v>
      </c>
      <c r="H5694" s="136"/>
      <c r="I5694" s="137">
        <f>SUM(I5690:I5693)</f>
        <v>72195</v>
      </c>
    </row>
    <row r="5695" spans="2:10" ht="15.95" customHeight="1" x14ac:dyDescent="0.25">
      <c r="C5695" s="116" t="s">
        <v>376</v>
      </c>
      <c r="D5695" s="117" t="s">
        <v>377</v>
      </c>
      <c r="E5695" s="118"/>
      <c r="F5695" s="118"/>
      <c r="G5695" s="165"/>
      <c r="H5695" s="144"/>
      <c r="I5695" s="126"/>
    </row>
    <row r="5696" spans="2:10" ht="15.95" customHeight="1" x14ac:dyDescent="0.25">
      <c r="C5696" s="122"/>
      <c r="D5696" s="117" t="s">
        <v>1269</v>
      </c>
      <c r="E5696" s="118"/>
      <c r="F5696" s="123" t="s">
        <v>418</v>
      </c>
      <c r="G5696" s="124">
        <v>6.9</v>
      </c>
      <c r="H5696" s="144">
        <f>VLOOKUP(D5696,Bahan,6,FALSE)</f>
        <v>3060</v>
      </c>
      <c r="I5696" s="126">
        <f>G5696*H5696</f>
        <v>21114</v>
      </c>
    </row>
    <row r="5697" spans="1:10" ht="15.95" customHeight="1" x14ac:dyDescent="0.25">
      <c r="C5697" s="122"/>
      <c r="D5697" s="117" t="s">
        <v>1270</v>
      </c>
      <c r="E5697" s="118"/>
      <c r="F5697" s="123" t="s">
        <v>399</v>
      </c>
      <c r="G5697" s="124">
        <v>0.35</v>
      </c>
      <c r="H5697" s="144">
        <f>VLOOKUP(D5697,Bahan,6,FALSE)</f>
        <v>86000</v>
      </c>
      <c r="I5697" s="126">
        <f>G5697*H5697</f>
        <v>30099.999999999996</v>
      </c>
    </row>
    <row r="5698" spans="1:10" ht="15.95" customHeight="1" x14ac:dyDescent="0.25">
      <c r="C5698" s="122"/>
      <c r="D5698" s="117" t="s">
        <v>383</v>
      </c>
      <c r="E5698" s="118"/>
      <c r="F5698" s="123" t="s">
        <v>159</v>
      </c>
      <c r="G5698" s="124">
        <v>0.03</v>
      </c>
      <c r="H5698" s="144">
        <f>VLOOKUP(D5698,Bahan,6,FALSE)</f>
        <v>27970</v>
      </c>
      <c r="I5698" s="126">
        <f>G5698*H5698</f>
        <v>839.1</v>
      </c>
    </row>
    <row r="5699" spans="1:10" ht="15.95" customHeight="1" thickBot="1" x14ac:dyDescent="0.3">
      <c r="C5699" s="122"/>
      <c r="D5699" s="117" t="s">
        <v>1271</v>
      </c>
      <c r="E5699" s="118"/>
      <c r="F5699" s="123" t="s">
        <v>418</v>
      </c>
      <c r="G5699" s="124">
        <v>0.5</v>
      </c>
      <c r="H5699" s="144">
        <f>VLOOKUP(D5699,Bahan,6,FALSE)</f>
        <v>44100</v>
      </c>
      <c r="I5699" s="126">
        <f>G5699*H5699</f>
        <v>22050</v>
      </c>
    </row>
    <row r="5700" spans="1:10" ht="15.95" customHeight="1" thickBot="1" x14ac:dyDescent="0.3">
      <c r="C5700" s="132"/>
      <c r="D5700" s="133"/>
      <c r="E5700" s="134"/>
      <c r="F5700" s="134"/>
      <c r="G5700" s="135" t="s">
        <v>386</v>
      </c>
      <c r="H5700" s="136"/>
      <c r="I5700" s="137">
        <f>SUM(I5696:I5699)</f>
        <v>74103.100000000006</v>
      </c>
    </row>
    <row r="5701" spans="1:10" ht="15.95" customHeight="1" thickBot="1" x14ac:dyDescent="0.3">
      <c r="C5701" s="116" t="s">
        <v>387</v>
      </c>
      <c r="D5701" s="117" t="s">
        <v>388</v>
      </c>
      <c r="E5701" s="118"/>
      <c r="F5701" s="118"/>
      <c r="G5701" s="165"/>
      <c r="H5701" s="144">
        <f>IF(AND(D5701&lt;&gt;"",F5701&lt;&gt;""),IF(C5701="",IF(F5701="OH",VLOOKUP(D5701,[1]UPAH!$B$3:$G$32,7,0),VLOOKUP(D5701,[1]BAHAN!$A$2:$D$3,4,0)),0),0)</f>
        <v>0</v>
      </c>
      <c r="I5701" s="126">
        <f>G5701*H5701</f>
        <v>0</v>
      </c>
    </row>
    <row r="5702" spans="1:10" ht="15.95" customHeight="1" thickBot="1" x14ac:dyDescent="0.3">
      <c r="C5702" s="132"/>
      <c r="D5702" s="133"/>
      <c r="E5702" s="134"/>
      <c r="F5702" s="134"/>
      <c r="G5702" s="135" t="s">
        <v>389</v>
      </c>
      <c r="H5702" s="136"/>
      <c r="I5702" s="137">
        <f>I5701</f>
        <v>0</v>
      </c>
    </row>
    <row r="5703" spans="1:10" ht="15.95" customHeight="1" x14ac:dyDescent="0.25">
      <c r="C5703" s="158" t="s">
        <v>390</v>
      </c>
      <c r="D5703" s="159" t="s">
        <v>391</v>
      </c>
      <c r="E5703" s="160"/>
      <c r="F5703" s="160"/>
      <c r="G5703" s="161"/>
      <c r="H5703" s="162">
        <f>IF(AND(D5703&lt;&gt;"",F5703&lt;&gt;""),IF(C5703="",IF(F5703="OH",VLOOKUP(D5703,[1]UPAH!$B$3:$G$32,7,0),VLOOKUP(D5703,[1]BAHAN!$A$2:$D$3,4,0)),0),0)</f>
        <v>0</v>
      </c>
      <c r="I5703" s="126">
        <f>SUM(I5690:I5702)/2</f>
        <v>146298.1</v>
      </c>
    </row>
    <row r="5704" spans="1:10" ht="15.95" customHeight="1" thickBot="1" x14ac:dyDescent="0.3">
      <c r="C5704" s="147" t="s">
        <v>392</v>
      </c>
      <c r="D5704" s="148" t="s">
        <v>393</v>
      </c>
      <c r="E5704" s="149"/>
      <c r="F5704" s="149"/>
      <c r="G5704" s="164">
        <v>0.1</v>
      </c>
      <c r="H5704" s="151"/>
      <c r="I5704" s="146">
        <f>G5704*I5703</f>
        <v>14629.810000000001</v>
      </c>
    </row>
    <row r="5705" spans="1:10" ht="15.95" customHeight="1" thickBot="1" x14ac:dyDescent="0.3">
      <c r="C5705" s="111" t="s">
        <v>394</v>
      </c>
      <c r="D5705" s="112" t="s">
        <v>395</v>
      </c>
      <c r="E5705" s="134"/>
      <c r="F5705" s="134"/>
      <c r="G5705" s="156"/>
      <c r="H5705" s="136">
        <f>IF(AND(D5705&lt;&gt;"",F5705&lt;&gt;""),IF(C5705="",IF(F5705="OH",VLOOKUP(D5705,[1]UPAH!$B$3:$G$32,7,0),VLOOKUP(D5705,[1]BAHAN!$A$2:$D$3,4,0)),0),0)</f>
        <v>0</v>
      </c>
      <c r="I5705" s="137">
        <f>ROUNDDOWN(I5703+I5704,0)</f>
        <v>160927</v>
      </c>
    </row>
    <row r="5706" spans="1:10" ht="15.95" customHeight="1" x14ac:dyDescent="0.25">
      <c r="C5706" s="109"/>
      <c r="D5706" s="109"/>
      <c r="G5706" s="157"/>
    </row>
    <row r="5707" spans="1:10" ht="15.95" customHeight="1" thickBot="1" x14ac:dyDescent="0.3">
      <c r="A5707" s="209"/>
      <c r="B5707" s="356" t="s">
        <v>1272</v>
      </c>
      <c r="C5707" s="104" t="s">
        <v>1273</v>
      </c>
      <c r="D5707" s="109"/>
      <c r="G5707" s="157"/>
      <c r="J5707" s="110">
        <f>I5723</f>
        <v>114665</v>
      </c>
    </row>
    <row r="5708" spans="1:10" ht="15.95" customHeight="1" thickBot="1" x14ac:dyDescent="0.3">
      <c r="C5708" s="111" t="s">
        <v>328</v>
      </c>
      <c r="D5708" s="112" t="s">
        <v>359</v>
      </c>
      <c r="E5708" s="113" t="s">
        <v>360</v>
      </c>
      <c r="F5708" s="113" t="s">
        <v>330</v>
      </c>
      <c r="G5708" s="114" t="s">
        <v>361</v>
      </c>
      <c r="H5708" s="112" t="s">
        <v>362</v>
      </c>
      <c r="I5708" s="115" t="s">
        <v>363</v>
      </c>
    </row>
    <row r="5709" spans="1:10" ht="15.95" customHeight="1" x14ac:dyDescent="0.25">
      <c r="C5709" s="116" t="s">
        <v>364</v>
      </c>
      <c r="D5709" s="117" t="s">
        <v>365</v>
      </c>
      <c r="E5709" s="118"/>
      <c r="F5709" s="118"/>
      <c r="G5709" s="165"/>
      <c r="H5709" s="144"/>
      <c r="I5709" s="126"/>
    </row>
    <row r="5710" spans="1:10" ht="15.95" customHeight="1" x14ac:dyDescent="0.25">
      <c r="C5710" s="122"/>
      <c r="D5710" s="117" t="s">
        <v>366</v>
      </c>
      <c r="E5710" s="123" t="s">
        <v>367</v>
      </c>
      <c r="F5710" s="123" t="s">
        <v>368</v>
      </c>
      <c r="G5710" s="124">
        <v>0.2</v>
      </c>
      <c r="H5710" s="125">
        <f>VLOOKUP(D5710,Upah,8,FALSE)</f>
        <v>125000</v>
      </c>
      <c r="I5710" s="126">
        <f>G5710*H5710</f>
        <v>25000</v>
      </c>
    </row>
    <row r="5711" spans="1:10" ht="15.95" customHeight="1" x14ac:dyDescent="0.25">
      <c r="C5711" s="122"/>
      <c r="D5711" s="117" t="s">
        <v>369</v>
      </c>
      <c r="E5711" s="123" t="s">
        <v>370</v>
      </c>
      <c r="F5711" s="123" t="s">
        <v>368</v>
      </c>
      <c r="G5711" s="124">
        <v>0.1</v>
      </c>
      <c r="H5711" s="125">
        <f>VLOOKUP(D5711,Upah,8,FALSE)</f>
        <v>150000</v>
      </c>
      <c r="I5711" s="126">
        <f>G5711*H5711</f>
        <v>15000</v>
      </c>
    </row>
    <row r="5712" spans="1:10" ht="15.95" customHeight="1" x14ac:dyDescent="0.25">
      <c r="C5712" s="122"/>
      <c r="D5712" s="117" t="s">
        <v>429</v>
      </c>
      <c r="E5712" s="123" t="s">
        <v>372</v>
      </c>
      <c r="F5712" s="123" t="s">
        <v>368</v>
      </c>
      <c r="G5712" s="124">
        <v>0.01</v>
      </c>
      <c r="H5712" s="125">
        <f>VLOOKUP(D5712,Upah,8,FALSE)</f>
        <v>165000</v>
      </c>
      <c r="I5712" s="126">
        <f>G5712*H5712</f>
        <v>1650</v>
      </c>
    </row>
    <row r="5713" spans="2:10" ht="15.95" customHeight="1" thickBot="1" x14ac:dyDescent="0.3">
      <c r="C5713" s="122"/>
      <c r="D5713" s="117" t="s">
        <v>373</v>
      </c>
      <c r="E5713" s="123" t="s">
        <v>374</v>
      </c>
      <c r="F5713" s="123" t="s">
        <v>368</v>
      </c>
      <c r="G5713" s="124">
        <v>1E-3</v>
      </c>
      <c r="H5713" s="125">
        <f>VLOOKUP(D5713,Upah,8,FALSE)</f>
        <v>170000</v>
      </c>
      <c r="I5713" s="126">
        <f>G5713*H5713</f>
        <v>170</v>
      </c>
    </row>
    <row r="5714" spans="2:10" ht="15.95" customHeight="1" thickBot="1" x14ac:dyDescent="0.3">
      <c r="C5714" s="132"/>
      <c r="D5714" s="133"/>
      <c r="E5714" s="134"/>
      <c r="F5714" s="134"/>
      <c r="G5714" s="135" t="s">
        <v>375</v>
      </c>
      <c r="H5714" s="136"/>
      <c r="I5714" s="137">
        <f>SUM(I5710:I5713)</f>
        <v>41820</v>
      </c>
    </row>
    <row r="5715" spans="2:10" ht="15.95" customHeight="1" x14ac:dyDescent="0.25">
      <c r="C5715" s="116" t="s">
        <v>376</v>
      </c>
      <c r="D5715" s="117" t="s">
        <v>377</v>
      </c>
      <c r="E5715" s="118"/>
      <c r="F5715" s="118"/>
      <c r="G5715" s="165"/>
      <c r="H5715" s="144"/>
      <c r="I5715" s="126"/>
    </row>
    <row r="5716" spans="2:10" ht="15.95" customHeight="1" x14ac:dyDescent="0.25">
      <c r="C5716" s="122"/>
      <c r="D5716" s="117" t="s">
        <v>1274</v>
      </c>
      <c r="E5716" s="118"/>
      <c r="F5716" s="123" t="s">
        <v>418</v>
      </c>
      <c r="G5716" s="124">
        <v>1.3</v>
      </c>
      <c r="H5716" s="144">
        <f>VLOOKUP(D5716,Bahan,6,FALSE)</f>
        <v>43750</v>
      </c>
      <c r="I5716" s="126">
        <f>G5716*H5716</f>
        <v>56875</v>
      </c>
    </row>
    <row r="5717" spans="2:10" ht="15.95" customHeight="1" thickBot="1" x14ac:dyDescent="0.3">
      <c r="C5717" s="122"/>
      <c r="D5717" s="117" t="s">
        <v>1275</v>
      </c>
      <c r="E5717" s="118"/>
      <c r="F5717" s="123" t="s">
        <v>159</v>
      </c>
      <c r="G5717" s="124">
        <v>0.2</v>
      </c>
      <c r="H5717" s="144">
        <f>VLOOKUP(D5717,Bahan,6,FALSE)</f>
        <v>27730</v>
      </c>
      <c r="I5717" s="126">
        <f>G5717*H5717</f>
        <v>5546</v>
      </c>
    </row>
    <row r="5718" spans="2:10" ht="15.95" customHeight="1" thickBot="1" x14ac:dyDescent="0.3">
      <c r="C5718" s="132"/>
      <c r="D5718" s="133"/>
      <c r="E5718" s="134"/>
      <c r="F5718" s="134"/>
      <c r="G5718" s="135" t="s">
        <v>386</v>
      </c>
      <c r="H5718" s="136"/>
      <c r="I5718" s="137">
        <f>SUM(I5716:I5717)</f>
        <v>62421</v>
      </c>
    </row>
    <row r="5719" spans="2:10" ht="15.95" customHeight="1" thickBot="1" x14ac:dyDescent="0.3">
      <c r="C5719" s="116" t="s">
        <v>387</v>
      </c>
      <c r="D5719" s="117" t="s">
        <v>388</v>
      </c>
      <c r="E5719" s="118"/>
      <c r="F5719" s="118"/>
      <c r="G5719" s="165"/>
      <c r="H5719" s="144">
        <f>IF(AND(D5719&lt;&gt;"",F5719&lt;&gt;""),IF(C5719="",IF(F5719="OH",VLOOKUP(D5719,[1]UPAH!$B$3:$G$32,7,0),VLOOKUP(D5719,[1]BAHAN!$A$2:$D$3,4,0)),0),0)</f>
        <v>0</v>
      </c>
      <c r="I5719" s="126">
        <f>G5719*H5719</f>
        <v>0</v>
      </c>
    </row>
    <row r="5720" spans="2:10" ht="15.95" customHeight="1" thickBot="1" x14ac:dyDescent="0.3">
      <c r="C5720" s="132"/>
      <c r="D5720" s="133"/>
      <c r="E5720" s="134"/>
      <c r="F5720" s="134"/>
      <c r="G5720" s="135" t="s">
        <v>389</v>
      </c>
      <c r="H5720" s="136"/>
      <c r="I5720" s="137">
        <f>I5719</f>
        <v>0</v>
      </c>
    </row>
    <row r="5721" spans="2:10" ht="15.95" customHeight="1" x14ac:dyDescent="0.25">
      <c r="C5721" s="158" t="s">
        <v>390</v>
      </c>
      <c r="D5721" s="159" t="s">
        <v>391</v>
      </c>
      <c r="E5721" s="160"/>
      <c r="F5721" s="160"/>
      <c r="G5721" s="161"/>
      <c r="H5721" s="162">
        <f>IF(AND(D5721&lt;&gt;"",F5721&lt;&gt;""),IF(C5721="",IF(F5721="OH",VLOOKUP(D5721,[1]UPAH!$B$3:$G$32,7,0),VLOOKUP(D5721,[1]BAHAN!$A$2:$D$3,4,0)),0),0)</f>
        <v>0</v>
      </c>
      <c r="I5721" s="126">
        <f>SUM(I5710:I5720)/2</f>
        <v>104241</v>
      </c>
    </row>
    <row r="5722" spans="2:10" ht="15.95" customHeight="1" thickBot="1" x14ac:dyDescent="0.3">
      <c r="C5722" s="147" t="s">
        <v>392</v>
      </c>
      <c r="D5722" s="148" t="s">
        <v>393</v>
      </c>
      <c r="E5722" s="149"/>
      <c r="F5722" s="149"/>
      <c r="G5722" s="164">
        <v>0.1</v>
      </c>
      <c r="H5722" s="151"/>
      <c r="I5722" s="146">
        <f>G5722*I5721</f>
        <v>10424.1</v>
      </c>
    </row>
    <row r="5723" spans="2:10" ht="15.95" customHeight="1" thickBot="1" x14ac:dyDescent="0.3">
      <c r="C5723" s="111" t="s">
        <v>394</v>
      </c>
      <c r="D5723" s="112" t="s">
        <v>395</v>
      </c>
      <c r="E5723" s="134"/>
      <c r="F5723" s="134"/>
      <c r="G5723" s="156"/>
      <c r="H5723" s="136">
        <f>IF(AND(D5723&lt;&gt;"",F5723&lt;&gt;""),IF(C5723="",IF(F5723="OH",VLOOKUP(D5723,[1]UPAH!$B$3:$G$32,7,0),VLOOKUP(D5723,[1]BAHAN!$A$2:$D$3,4,0)),0),0)</f>
        <v>0</v>
      </c>
      <c r="I5723" s="137">
        <f>ROUNDDOWN(I5721+I5722,0)</f>
        <v>114665</v>
      </c>
    </row>
    <row r="5724" spans="2:10" ht="15.95" customHeight="1" x14ac:dyDescent="0.25">
      <c r="C5724" s="109"/>
      <c r="D5724" s="109"/>
      <c r="G5724" s="157"/>
      <c r="H5724" s="166"/>
      <c r="I5724" s="110"/>
    </row>
    <row r="5725" spans="2:10" ht="15.95" customHeight="1" thickBot="1" x14ac:dyDescent="0.3">
      <c r="B5725" s="174" t="s">
        <v>1276</v>
      </c>
      <c r="C5725" s="104" t="s">
        <v>1277</v>
      </c>
      <c r="D5725" s="109"/>
      <c r="G5725" s="157"/>
      <c r="J5725" s="110">
        <f>I5741</f>
        <v>148352</v>
      </c>
    </row>
    <row r="5726" spans="2:10" ht="15.95" customHeight="1" thickBot="1" x14ac:dyDescent="0.3">
      <c r="C5726" s="111" t="s">
        <v>328</v>
      </c>
      <c r="D5726" s="112" t="s">
        <v>359</v>
      </c>
      <c r="E5726" s="113" t="s">
        <v>360</v>
      </c>
      <c r="F5726" s="113" t="s">
        <v>330</v>
      </c>
      <c r="G5726" s="114" t="s">
        <v>361</v>
      </c>
      <c r="H5726" s="112" t="s">
        <v>362</v>
      </c>
      <c r="I5726" s="115" t="s">
        <v>363</v>
      </c>
    </row>
    <row r="5727" spans="2:10" ht="15.95" customHeight="1" x14ac:dyDescent="0.25">
      <c r="C5727" s="116" t="s">
        <v>364</v>
      </c>
      <c r="D5727" s="117" t="s">
        <v>365</v>
      </c>
      <c r="E5727" s="118"/>
      <c r="F5727" s="118"/>
      <c r="G5727" s="165"/>
      <c r="H5727" s="144"/>
      <c r="I5727" s="126"/>
    </row>
    <row r="5728" spans="2:10" ht="15.95" customHeight="1" x14ac:dyDescent="0.25">
      <c r="C5728" s="122"/>
      <c r="D5728" s="117" t="s">
        <v>366</v>
      </c>
      <c r="E5728" s="123" t="s">
        <v>367</v>
      </c>
      <c r="F5728" s="123" t="s">
        <v>368</v>
      </c>
      <c r="G5728" s="124">
        <v>0.2</v>
      </c>
      <c r="H5728" s="125">
        <f>VLOOKUP(D5728,Upah,8,FALSE)</f>
        <v>125000</v>
      </c>
      <c r="I5728" s="126">
        <f>G5728*H5728</f>
        <v>25000</v>
      </c>
    </row>
    <row r="5729" spans="3:9" ht="15.95" customHeight="1" x14ac:dyDescent="0.25">
      <c r="C5729" s="122"/>
      <c r="D5729" s="117" t="s">
        <v>369</v>
      </c>
      <c r="E5729" s="123" t="s">
        <v>370</v>
      </c>
      <c r="F5729" s="123" t="s">
        <v>368</v>
      </c>
      <c r="G5729" s="124">
        <v>0.1</v>
      </c>
      <c r="H5729" s="125">
        <f>VLOOKUP(D5729,Upah,8,FALSE)</f>
        <v>150000</v>
      </c>
      <c r="I5729" s="126">
        <f>G5729*H5729</f>
        <v>15000</v>
      </c>
    </row>
    <row r="5730" spans="3:9" ht="15.95" customHeight="1" x14ac:dyDescent="0.25">
      <c r="C5730" s="122"/>
      <c r="D5730" s="117" t="s">
        <v>429</v>
      </c>
      <c r="E5730" s="123" t="s">
        <v>372</v>
      </c>
      <c r="F5730" s="123" t="s">
        <v>368</v>
      </c>
      <c r="G5730" s="124">
        <v>0.01</v>
      </c>
      <c r="H5730" s="125">
        <f>VLOOKUP(D5730,Upah,8,FALSE)</f>
        <v>165000</v>
      </c>
      <c r="I5730" s="126">
        <f>G5730*H5730</f>
        <v>1650</v>
      </c>
    </row>
    <row r="5731" spans="3:9" ht="15.95" customHeight="1" thickBot="1" x14ac:dyDescent="0.3">
      <c r="C5731" s="122"/>
      <c r="D5731" s="117" t="s">
        <v>373</v>
      </c>
      <c r="E5731" s="123" t="s">
        <v>374</v>
      </c>
      <c r="F5731" s="123" t="s">
        <v>368</v>
      </c>
      <c r="G5731" s="124">
        <v>1E-3</v>
      </c>
      <c r="H5731" s="125">
        <f>VLOOKUP(D5731,Upah,8,FALSE)</f>
        <v>170000</v>
      </c>
      <c r="I5731" s="126">
        <f>G5731*H5731</f>
        <v>170</v>
      </c>
    </row>
    <row r="5732" spans="3:9" ht="15.95" customHeight="1" thickBot="1" x14ac:dyDescent="0.3">
      <c r="C5732" s="132"/>
      <c r="D5732" s="133"/>
      <c r="E5732" s="134"/>
      <c r="F5732" s="134"/>
      <c r="G5732" s="135" t="s">
        <v>375</v>
      </c>
      <c r="H5732" s="136"/>
      <c r="I5732" s="137">
        <f>SUM(I5728:I5731)</f>
        <v>41820</v>
      </c>
    </row>
    <row r="5733" spans="3:9" ht="15.95" customHeight="1" x14ac:dyDescent="0.25">
      <c r="C5733" s="116" t="s">
        <v>376</v>
      </c>
      <c r="D5733" s="117" t="s">
        <v>377</v>
      </c>
      <c r="E5733" s="118"/>
      <c r="F5733" s="118"/>
      <c r="G5733" s="165"/>
      <c r="H5733" s="144"/>
      <c r="I5733" s="126"/>
    </row>
    <row r="5734" spans="3:9" ht="15.95" customHeight="1" x14ac:dyDescent="0.25">
      <c r="C5734" s="122"/>
      <c r="D5734" s="117" t="s">
        <v>1274</v>
      </c>
      <c r="E5734" s="118"/>
      <c r="F5734" s="123" t="s">
        <v>418</v>
      </c>
      <c r="G5734" s="124">
        <v>2</v>
      </c>
      <c r="H5734" s="144">
        <f>VLOOKUP(D5734,Bahan,6,FALSE)</f>
        <v>43750</v>
      </c>
      <c r="I5734" s="126">
        <f>G5734*H5734</f>
        <v>87500</v>
      </c>
    </row>
    <row r="5735" spans="3:9" ht="15.95" customHeight="1" thickBot="1" x14ac:dyDescent="0.3">
      <c r="C5735" s="122"/>
      <c r="D5735" s="117" t="s">
        <v>1275</v>
      </c>
      <c r="E5735" s="118"/>
      <c r="F5735" s="123" t="s">
        <v>159</v>
      </c>
      <c r="G5735" s="124">
        <v>0.2</v>
      </c>
      <c r="H5735" s="144">
        <f>VLOOKUP(D5735,Bahan,6,FALSE)</f>
        <v>27730</v>
      </c>
      <c r="I5735" s="126">
        <f>G5735*H5735</f>
        <v>5546</v>
      </c>
    </row>
    <row r="5736" spans="3:9" ht="15.95" customHeight="1" thickBot="1" x14ac:dyDescent="0.3">
      <c r="C5736" s="132"/>
      <c r="D5736" s="133"/>
      <c r="E5736" s="134"/>
      <c r="F5736" s="134"/>
      <c r="G5736" s="135" t="s">
        <v>386</v>
      </c>
      <c r="H5736" s="136"/>
      <c r="I5736" s="137">
        <f>SUM(I5734:I5735)</f>
        <v>93046</v>
      </c>
    </row>
    <row r="5737" spans="3:9" ht="15.95" customHeight="1" thickBot="1" x14ac:dyDescent="0.3">
      <c r="C5737" s="116" t="s">
        <v>387</v>
      </c>
      <c r="D5737" s="117" t="s">
        <v>388</v>
      </c>
      <c r="E5737" s="118"/>
      <c r="F5737" s="118"/>
      <c r="G5737" s="165"/>
      <c r="H5737" s="144">
        <f>IF(AND(D5737&lt;&gt;"",F5737&lt;&gt;""),IF(C5737="",IF(F5737="OH",VLOOKUP(D5737,[1]UPAH!$B$3:$G$32,7,0),VLOOKUP(D5737,[1]BAHAN!$A$2:$D$3,4,0)),0),0)</f>
        <v>0</v>
      </c>
      <c r="I5737" s="126">
        <f>G5737*H5737</f>
        <v>0</v>
      </c>
    </row>
    <row r="5738" spans="3:9" ht="15.95" customHeight="1" thickBot="1" x14ac:dyDescent="0.3">
      <c r="C5738" s="132"/>
      <c r="D5738" s="133"/>
      <c r="E5738" s="134"/>
      <c r="F5738" s="134"/>
      <c r="G5738" s="135" t="s">
        <v>389</v>
      </c>
      <c r="H5738" s="136"/>
      <c r="I5738" s="137">
        <f>I5737</f>
        <v>0</v>
      </c>
    </row>
    <row r="5739" spans="3:9" ht="15.95" customHeight="1" x14ac:dyDescent="0.25">
      <c r="C5739" s="158" t="s">
        <v>390</v>
      </c>
      <c r="D5739" s="159" t="s">
        <v>391</v>
      </c>
      <c r="E5739" s="160"/>
      <c r="F5739" s="160"/>
      <c r="G5739" s="161"/>
      <c r="H5739" s="162">
        <f>IF(AND(D5739&lt;&gt;"",F5739&lt;&gt;""),IF(C5739="",IF(F5739="OH",VLOOKUP(D5739,[1]UPAH!$B$3:$G$32,7,0),VLOOKUP(D5739,[1]BAHAN!$A$2:$D$3,4,0)),0),0)</f>
        <v>0</v>
      </c>
      <c r="I5739" s="126">
        <f>SUM(I5728:I5738)/2</f>
        <v>134866</v>
      </c>
    </row>
    <row r="5740" spans="3:9" ht="15.95" customHeight="1" thickBot="1" x14ac:dyDescent="0.3">
      <c r="C5740" s="147" t="s">
        <v>392</v>
      </c>
      <c r="D5740" s="148" t="s">
        <v>393</v>
      </c>
      <c r="E5740" s="149"/>
      <c r="F5740" s="149"/>
      <c r="G5740" s="164">
        <v>0.1</v>
      </c>
      <c r="H5740" s="151"/>
      <c r="I5740" s="146">
        <f>G5740*I5739</f>
        <v>13486.6</v>
      </c>
    </row>
    <row r="5741" spans="3:9" ht="15.95" customHeight="1" thickBot="1" x14ac:dyDescent="0.3">
      <c r="C5741" s="111" t="s">
        <v>394</v>
      </c>
      <c r="D5741" s="112" t="s">
        <v>395</v>
      </c>
      <c r="E5741" s="134"/>
      <c r="F5741" s="134"/>
      <c r="G5741" s="156"/>
      <c r="H5741" s="136">
        <f>IF(AND(D5741&lt;&gt;"",F5741&lt;&gt;""),IF(C5741="",IF(F5741="OH",VLOOKUP(D5741,[1]UPAH!$B$3:$G$32,7,0),VLOOKUP(D5741,[1]BAHAN!$A$2:$D$3,4,0)),0),0)</f>
        <v>0</v>
      </c>
      <c r="I5741" s="137">
        <f>ROUNDDOWN(I5739+I5740,0)</f>
        <v>148352</v>
      </c>
    </row>
    <row r="5742" spans="3:9" ht="15.95" customHeight="1" x14ac:dyDescent="0.25">
      <c r="C5742" s="109"/>
      <c r="D5742" s="109"/>
      <c r="G5742" s="157"/>
      <c r="H5742" s="166"/>
      <c r="I5742" s="110"/>
    </row>
    <row r="5743" spans="3:9" ht="15.95" customHeight="1" x14ac:dyDescent="0.25">
      <c r="C5743" s="109"/>
      <c r="D5743" s="109"/>
      <c r="G5743" s="157"/>
      <c r="H5743" s="166"/>
      <c r="I5743" s="110"/>
    </row>
    <row r="5744" spans="3:9" ht="15.95" customHeight="1" x14ac:dyDescent="0.25">
      <c r="C5744" s="109"/>
      <c r="D5744" s="109"/>
      <c r="G5744" s="157"/>
    </row>
    <row r="5745" spans="2:10" ht="15.95" customHeight="1" thickBot="1" x14ac:dyDescent="0.3">
      <c r="B5745" s="109" t="s">
        <v>1278</v>
      </c>
      <c r="C5745" s="104" t="s">
        <v>1279</v>
      </c>
      <c r="G5745" s="157"/>
      <c r="J5745" s="110">
        <f>I5761</f>
        <v>472261</v>
      </c>
    </row>
    <row r="5746" spans="2:10" ht="15.95" customHeight="1" thickBot="1" x14ac:dyDescent="0.3">
      <c r="C5746" s="111" t="s">
        <v>328</v>
      </c>
      <c r="D5746" s="112" t="s">
        <v>359</v>
      </c>
      <c r="E5746" s="113" t="s">
        <v>360</v>
      </c>
      <c r="F5746" s="113" t="s">
        <v>330</v>
      </c>
      <c r="G5746" s="114" t="s">
        <v>361</v>
      </c>
      <c r="H5746" s="112" t="s">
        <v>362</v>
      </c>
      <c r="I5746" s="115" t="s">
        <v>363</v>
      </c>
    </row>
    <row r="5747" spans="2:10" ht="15.95" customHeight="1" x14ac:dyDescent="0.25">
      <c r="C5747" s="116" t="s">
        <v>364</v>
      </c>
      <c r="D5747" s="117" t="s">
        <v>365</v>
      </c>
      <c r="E5747" s="118"/>
      <c r="F5747" s="118"/>
      <c r="G5747" s="165"/>
      <c r="H5747" s="144"/>
      <c r="I5747" s="126"/>
    </row>
    <row r="5748" spans="2:10" ht="15.95" customHeight="1" x14ac:dyDescent="0.25">
      <c r="C5748" s="122"/>
      <c r="D5748" s="117" t="s">
        <v>366</v>
      </c>
      <c r="E5748" s="123" t="s">
        <v>367</v>
      </c>
      <c r="F5748" s="123" t="s">
        <v>368</v>
      </c>
      <c r="G5748" s="124">
        <v>0.16600000000000001</v>
      </c>
      <c r="H5748" s="125">
        <f>VLOOKUP(D5748,Upah,8,FALSE)</f>
        <v>125000</v>
      </c>
      <c r="I5748" s="126">
        <f>G5748*H5748</f>
        <v>20750</v>
      </c>
    </row>
    <row r="5749" spans="2:10" ht="15.95" customHeight="1" x14ac:dyDescent="0.25">
      <c r="C5749" s="122"/>
      <c r="D5749" s="117" t="s">
        <v>369</v>
      </c>
      <c r="E5749" s="123" t="s">
        <v>370</v>
      </c>
      <c r="F5749" s="123" t="s">
        <v>368</v>
      </c>
      <c r="G5749" s="124">
        <v>0.25</v>
      </c>
      <c r="H5749" s="125">
        <f>VLOOKUP(D5749,Upah,8,FALSE)</f>
        <v>150000</v>
      </c>
      <c r="I5749" s="126">
        <f>G5749*H5749</f>
        <v>37500</v>
      </c>
    </row>
    <row r="5750" spans="2:10" ht="15.95" customHeight="1" x14ac:dyDescent="0.25">
      <c r="C5750" s="122"/>
      <c r="D5750" s="117" t="s">
        <v>429</v>
      </c>
      <c r="E5750" s="123" t="s">
        <v>372</v>
      </c>
      <c r="F5750" s="123" t="s">
        <v>368</v>
      </c>
      <c r="G5750" s="124">
        <v>2.5000000000000001E-2</v>
      </c>
      <c r="H5750" s="125">
        <f>VLOOKUP(D5750,Upah,8,FALSE)</f>
        <v>165000</v>
      </c>
      <c r="I5750" s="126">
        <f>G5750*H5750</f>
        <v>4125</v>
      </c>
    </row>
    <row r="5751" spans="2:10" ht="15.95" customHeight="1" thickBot="1" x14ac:dyDescent="0.3">
      <c r="C5751" s="122"/>
      <c r="D5751" s="117" t="s">
        <v>373</v>
      </c>
      <c r="E5751" s="123" t="s">
        <v>374</v>
      </c>
      <c r="F5751" s="123" t="s">
        <v>368</v>
      </c>
      <c r="G5751" s="124">
        <v>8.0000000000000002E-3</v>
      </c>
      <c r="H5751" s="125">
        <f>VLOOKUP(D5751,Upah,8,FALSE)</f>
        <v>170000</v>
      </c>
      <c r="I5751" s="126">
        <f>G5751*H5751</f>
        <v>1360</v>
      </c>
    </row>
    <row r="5752" spans="2:10" ht="15.95" customHeight="1" thickBot="1" x14ac:dyDescent="0.3">
      <c r="C5752" s="132"/>
      <c r="D5752" s="133"/>
      <c r="E5752" s="134"/>
      <c r="F5752" s="134"/>
      <c r="G5752" s="135" t="s">
        <v>375</v>
      </c>
      <c r="H5752" s="136"/>
      <c r="I5752" s="137">
        <f>SUM(I5748:I5751)</f>
        <v>63735</v>
      </c>
    </row>
    <row r="5753" spans="2:10" ht="15.95" customHeight="1" x14ac:dyDescent="0.25">
      <c r="C5753" s="116" t="s">
        <v>376</v>
      </c>
      <c r="D5753" s="117" t="s">
        <v>377</v>
      </c>
      <c r="E5753" s="118"/>
      <c r="F5753" s="118"/>
      <c r="G5753" s="165"/>
      <c r="H5753" s="144"/>
      <c r="I5753" s="126"/>
    </row>
    <row r="5754" spans="2:10" ht="15.95" customHeight="1" x14ac:dyDescent="0.25">
      <c r="C5754" s="122"/>
      <c r="D5754" s="117" t="s">
        <v>1280</v>
      </c>
      <c r="E5754" s="118"/>
      <c r="F5754" s="123" t="s">
        <v>418</v>
      </c>
      <c r="G5754" s="124">
        <v>30</v>
      </c>
      <c r="H5754" s="144">
        <f>VLOOKUP(D5754,Bahan,6,FALSE)</f>
        <v>12000</v>
      </c>
      <c r="I5754" s="126">
        <f>G5754*H5754</f>
        <v>360000</v>
      </c>
    </row>
    <row r="5755" spans="2:10" ht="15.95" customHeight="1" thickBot="1" x14ac:dyDescent="0.3">
      <c r="C5755" s="122"/>
      <c r="D5755" s="117" t="s">
        <v>613</v>
      </c>
      <c r="E5755" s="118"/>
      <c r="F5755" s="123" t="s">
        <v>159</v>
      </c>
      <c r="G5755" s="124">
        <v>0.2</v>
      </c>
      <c r="H5755" s="144">
        <f>VLOOKUP(D5755,Bahan,6,FALSE)</f>
        <v>27970</v>
      </c>
      <c r="I5755" s="126">
        <f>G5755*H5755</f>
        <v>5594</v>
      </c>
    </row>
    <row r="5756" spans="2:10" ht="15.95" customHeight="1" thickBot="1" x14ac:dyDescent="0.3">
      <c r="C5756" s="132"/>
      <c r="D5756" s="133"/>
      <c r="E5756" s="134"/>
      <c r="F5756" s="134"/>
      <c r="G5756" s="135" t="s">
        <v>386</v>
      </c>
      <c r="H5756" s="136"/>
      <c r="I5756" s="137">
        <f>SUM(I5754:I5755)</f>
        <v>365594</v>
      </c>
    </row>
    <row r="5757" spans="2:10" ht="15.95" customHeight="1" thickBot="1" x14ac:dyDescent="0.3">
      <c r="C5757" s="116" t="s">
        <v>387</v>
      </c>
      <c r="D5757" s="117" t="s">
        <v>388</v>
      </c>
      <c r="E5757" s="118"/>
      <c r="F5757" s="118"/>
      <c r="G5757" s="165"/>
      <c r="H5757" s="144">
        <f>IF(AND(D5757&lt;&gt;"",F5757&lt;&gt;""),IF(C5757="",IF(F5757="OH",VLOOKUP(D5757,[1]UPAH!$B$3:$G$32,7,0),VLOOKUP(D5757,[1]BAHAN!$A$2:$D$3,4,0)),0),0)</f>
        <v>0</v>
      </c>
      <c r="I5757" s="126">
        <f>G5757*H5757</f>
        <v>0</v>
      </c>
    </row>
    <row r="5758" spans="2:10" ht="15.95" customHeight="1" thickBot="1" x14ac:dyDescent="0.3">
      <c r="C5758" s="132"/>
      <c r="D5758" s="133"/>
      <c r="E5758" s="134"/>
      <c r="F5758" s="134"/>
      <c r="G5758" s="135" t="s">
        <v>389</v>
      </c>
      <c r="H5758" s="136"/>
      <c r="I5758" s="137">
        <f>I5757</f>
        <v>0</v>
      </c>
    </row>
    <row r="5759" spans="2:10" ht="15.95" customHeight="1" x14ac:dyDescent="0.25">
      <c r="C5759" s="158" t="s">
        <v>390</v>
      </c>
      <c r="D5759" s="159" t="s">
        <v>391</v>
      </c>
      <c r="E5759" s="160"/>
      <c r="F5759" s="160"/>
      <c r="G5759" s="161"/>
      <c r="H5759" s="162">
        <f>IF(AND(D5759&lt;&gt;"",F5759&lt;&gt;""),IF(C5759="",IF(F5759="OH",VLOOKUP(D5759,[1]UPAH!$B$3:$G$32,7,0),VLOOKUP(D5759,[1]BAHAN!$A$2:$D$3,4,0)),0),0)</f>
        <v>0</v>
      </c>
      <c r="I5759" s="126">
        <f>SUM(I5748:I5758)/2</f>
        <v>429329</v>
      </c>
    </row>
    <row r="5760" spans="2:10" ht="15.95" customHeight="1" thickBot="1" x14ac:dyDescent="0.3">
      <c r="C5760" s="147" t="s">
        <v>392</v>
      </c>
      <c r="D5760" s="148" t="s">
        <v>393</v>
      </c>
      <c r="E5760" s="149"/>
      <c r="F5760" s="149"/>
      <c r="G5760" s="164">
        <v>0.1</v>
      </c>
      <c r="H5760" s="151"/>
      <c r="I5760" s="146">
        <f>G5760*I5759</f>
        <v>42932.9</v>
      </c>
    </row>
    <row r="5761" spans="2:10" ht="15.95" customHeight="1" thickBot="1" x14ac:dyDescent="0.3">
      <c r="C5761" s="111" t="s">
        <v>394</v>
      </c>
      <c r="D5761" s="112" t="s">
        <v>395</v>
      </c>
      <c r="E5761" s="134"/>
      <c r="F5761" s="134"/>
      <c r="G5761" s="156"/>
      <c r="H5761" s="136">
        <f>IF(AND(D5761&lt;&gt;"",F5761&lt;&gt;""),IF(C5761="",IF(F5761="OH",VLOOKUP(D5761,[1]UPAH!$B$3:$G$32,7,0),VLOOKUP(D5761,[1]BAHAN!$A$2:$D$3,4,0)),0),0)</f>
        <v>0</v>
      </c>
      <c r="I5761" s="137">
        <f>ROUNDDOWN(I5759+I5760,0)</f>
        <v>472261</v>
      </c>
    </row>
    <row r="5762" spans="2:10" ht="15.95" customHeight="1" x14ac:dyDescent="0.25">
      <c r="C5762" s="109"/>
      <c r="D5762" s="109"/>
      <c r="G5762" s="157"/>
    </row>
    <row r="5763" spans="2:10" ht="15.95" customHeight="1" thickBot="1" x14ac:dyDescent="0.3">
      <c r="B5763" s="109" t="s">
        <v>1281</v>
      </c>
      <c r="C5763" s="104" t="s">
        <v>1282</v>
      </c>
      <c r="G5763" s="157"/>
      <c r="J5763" s="110">
        <f>I5782</f>
        <v>203059</v>
      </c>
    </row>
    <row r="5764" spans="2:10" ht="15.95" customHeight="1" thickBot="1" x14ac:dyDescent="0.3">
      <c r="C5764" s="111" t="s">
        <v>328</v>
      </c>
      <c r="D5764" s="112" t="s">
        <v>359</v>
      </c>
      <c r="E5764" s="113" t="s">
        <v>360</v>
      </c>
      <c r="F5764" s="113" t="s">
        <v>330</v>
      </c>
      <c r="G5764" s="114" t="s">
        <v>361</v>
      </c>
      <c r="H5764" s="112" t="s">
        <v>362</v>
      </c>
      <c r="I5764" s="115" t="s">
        <v>363</v>
      </c>
    </row>
    <row r="5765" spans="2:10" ht="15.95" customHeight="1" x14ac:dyDescent="0.25">
      <c r="C5765" s="116" t="s">
        <v>364</v>
      </c>
      <c r="D5765" s="117" t="s">
        <v>365</v>
      </c>
      <c r="E5765" s="118"/>
      <c r="F5765" s="118"/>
      <c r="G5765" s="165"/>
      <c r="H5765" s="144"/>
      <c r="I5765" s="126"/>
    </row>
    <row r="5766" spans="2:10" ht="15.95" customHeight="1" x14ac:dyDescent="0.25">
      <c r="C5766" s="122"/>
      <c r="D5766" s="117" t="s">
        <v>366</v>
      </c>
      <c r="E5766" s="123" t="s">
        <v>367</v>
      </c>
      <c r="F5766" s="123" t="s">
        <v>368</v>
      </c>
      <c r="G5766" s="124">
        <v>0.4</v>
      </c>
      <c r="H5766" s="125">
        <f>VLOOKUP(D5766,Upah,8,FALSE)</f>
        <v>125000</v>
      </c>
      <c r="I5766" s="126">
        <f>G5766*H5766</f>
        <v>50000</v>
      </c>
    </row>
    <row r="5767" spans="2:10" ht="15.95" customHeight="1" x14ac:dyDescent="0.25">
      <c r="C5767" s="122"/>
      <c r="D5767" s="117" t="s">
        <v>369</v>
      </c>
      <c r="E5767" s="123" t="s">
        <v>370</v>
      </c>
      <c r="F5767" s="123" t="s">
        <v>368</v>
      </c>
      <c r="G5767" s="124">
        <v>0.2</v>
      </c>
      <c r="H5767" s="125">
        <f>VLOOKUP(D5767,Upah,8,FALSE)</f>
        <v>150000</v>
      </c>
      <c r="I5767" s="126">
        <f>G5767*H5767</f>
        <v>30000</v>
      </c>
    </row>
    <row r="5768" spans="2:10" ht="15.95" customHeight="1" x14ac:dyDescent="0.25">
      <c r="C5768" s="122"/>
      <c r="D5768" s="117" t="s">
        <v>429</v>
      </c>
      <c r="E5768" s="123" t="s">
        <v>372</v>
      </c>
      <c r="F5768" s="123" t="s">
        <v>368</v>
      </c>
      <c r="G5768" s="124">
        <v>0.02</v>
      </c>
      <c r="H5768" s="125">
        <f>VLOOKUP(D5768,Upah,8,FALSE)</f>
        <v>165000</v>
      </c>
      <c r="I5768" s="126">
        <f>G5768*H5768</f>
        <v>3300</v>
      </c>
    </row>
    <row r="5769" spans="2:10" ht="15.95" customHeight="1" thickBot="1" x14ac:dyDescent="0.3">
      <c r="C5769" s="122"/>
      <c r="D5769" s="117" t="s">
        <v>373</v>
      </c>
      <c r="E5769" s="123" t="s">
        <v>374</v>
      </c>
      <c r="F5769" s="123" t="s">
        <v>368</v>
      </c>
      <c r="G5769" s="124">
        <v>0.02</v>
      </c>
      <c r="H5769" s="125">
        <f>VLOOKUP(D5769,Upah,8,FALSE)</f>
        <v>170000</v>
      </c>
      <c r="I5769" s="126">
        <f>G5769*H5769</f>
        <v>3400</v>
      </c>
    </row>
    <row r="5770" spans="2:10" ht="15.95" customHeight="1" thickBot="1" x14ac:dyDescent="0.3">
      <c r="C5770" s="132"/>
      <c r="D5770" s="133"/>
      <c r="E5770" s="134"/>
      <c r="F5770" s="134"/>
      <c r="G5770" s="135" t="s">
        <v>375</v>
      </c>
      <c r="H5770" s="136"/>
      <c r="I5770" s="137">
        <f>SUM(I5766:I5769)</f>
        <v>86700</v>
      </c>
    </row>
    <row r="5771" spans="2:10" ht="15.95" customHeight="1" x14ac:dyDescent="0.25">
      <c r="C5771" s="116" t="s">
        <v>376</v>
      </c>
      <c r="D5771" s="117" t="s">
        <v>377</v>
      </c>
      <c r="E5771" s="118"/>
      <c r="F5771" s="118"/>
      <c r="G5771" s="165"/>
      <c r="H5771" s="144"/>
      <c r="I5771" s="126"/>
    </row>
    <row r="5772" spans="2:10" ht="15.95" customHeight="1" x14ac:dyDescent="0.25">
      <c r="C5772" s="122"/>
      <c r="D5772" s="117" t="s">
        <v>1283</v>
      </c>
      <c r="E5772" s="118"/>
      <c r="F5772" s="123" t="s">
        <v>418</v>
      </c>
      <c r="G5772" s="124">
        <v>3.5</v>
      </c>
      <c r="H5772" s="144">
        <f>VLOOKUP(D5772,Bahan,6,FALSE)</f>
        <v>18750</v>
      </c>
      <c r="I5772" s="126">
        <f>G5772*H5772</f>
        <v>65625</v>
      </c>
    </row>
    <row r="5773" spans="2:10" ht="15.95" customHeight="1" x14ac:dyDescent="0.25">
      <c r="C5773" s="122"/>
      <c r="D5773" s="117" t="s">
        <v>613</v>
      </c>
      <c r="E5773" s="118"/>
      <c r="F5773" s="123" t="s">
        <v>159</v>
      </c>
      <c r="G5773" s="124">
        <v>0.05</v>
      </c>
      <c r="H5773" s="144">
        <f>VLOOKUP(D5773,Bahan,6,FALSE)</f>
        <v>27970</v>
      </c>
      <c r="I5773" s="126">
        <f>G5773*H5773</f>
        <v>1398.5</v>
      </c>
    </row>
    <row r="5774" spans="2:10" ht="15.95" customHeight="1" x14ac:dyDescent="0.25">
      <c r="C5774" s="122"/>
      <c r="D5774" s="117" t="s">
        <v>380</v>
      </c>
      <c r="E5774" s="118"/>
      <c r="F5774" s="123" t="s">
        <v>159</v>
      </c>
      <c r="G5774" s="124">
        <v>10.8</v>
      </c>
      <c r="H5774" s="144">
        <f>VLOOKUP(D5774,Bahan,6,FALSE)</f>
        <v>1880</v>
      </c>
      <c r="I5774" s="126">
        <f>G5774*H5774</f>
        <v>20304</v>
      </c>
    </row>
    <row r="5775" spans="2:10" ht="15.95" customHeight="1" x14ac:dyDescent="0.25">
      <c r="C5775" s="122"/>
      <c r="D5775" s="117" t="s">
        <v>493</v>
      </c>
      <c r="E5775" s="118"/>
      <c r="F5775" s="123" t="s">
        <v>489</v>
      </c>
      <c r="G5775" s="124">
        <v>3.2000000000000001E-2</v>
      </c>
      <c r="H5775" s="144">
        <f>VLOOKUP(D5775,Bahan,6,FALSE)</f>
        <v>253510</v>
      </c>
      <c r="I5775" s="126">
        <f>G5775*H5775</f>
        <v>8112.3200000000006</v>
      </c>
    </row>
    <row r="5776" spans="2:10" ht="15.95" customHeight="1" thickBot="1" x14ac:dyDescent="0.3">
      <c r="C5776" s="122"/>
      <c r="D5776" s="117" t="s">
        <v>1042</v>
      </c>
      <c r="E5776" s="118"/>
      <c r="F5776" s="123" t="s">
        <v>159</v>
      </c>
      <c r="G5776" s="124">
        <v>1</v>
      </c>
      <c r="H5776" s="144">
        <f>VLOOKUP(D5776,Bahan,6,FALSE)</f>
        <v>2460</v>
      </c>
      <c r="I5776" s="126">
        <f>G5776*H5776</f>
        <v>2460</v>
      </c>
    </row>
    <row r="5777" spans="2:10" ht="15.95" customHeight="1" thickBot="1" x14ac:dyDescent="0.3">
      <c r="C5777" s="132"/>
      <c r="D5777" s="133"/>
      <c r="E5777" s="134"/>
      <c r="F5777" s="134"/>
      <c r="G5777" s="135" t="s">
        <v>386</v>
      </c>
      <c r="H5777" s="136"/>
      <c r="I5777" s="137">
        <f>SUM(I5772:I5776)</f>
        <v>97899.82</v>
      </c>
    </row>
    <row r="5778" spans="2:10" ht="15.95" customHeight="1" thickBot="1" x14ac:dyDescent="0.3">
      <c r="C5778" s="116" t="s">
        <v>387</v>
      </c>
      <c r="D5778" s="117" t="s">
        <v>388</v>
      </c>
      <c r="E5778" s="118"/>
      <c r="F5778" s="118"/>
      <c r="G5778" s="165"/>
      <c r="H5778" s="144">
        <f>IF(AND(D5778&lt;&gt;"",F5778&lt;&gt;""),IF(C5778="",IF(F5778="OH",VLOOKUP(D5778,[1]UPAH!$B$3:$G$32,7,0),VLOOKUP(D5778,[1]BAHAN!$A$2:$D$3,4,0)),0),0)</f>
        <v>0</v>
      </c>
      <c r="I5778" s="126">
        <f>G5778*H5778</f>
        <v>0</v>
      </c>
    </row>
    <row r="5779" spans="2:10" ht="15.95" customHeight="1" thickBot="1" x14ac:dyDescent="0.3">
      <c r="C5779" s="132"/>
      <c r="D5779" s="133"/>
      <c r="E5779" s="134"/>
      <c r="F5779" s="134"/>
      <c r="G5779" s="135" t="s">
        <v>389</v>
      </c>
      <c r="H5779" s="136"/>
      <c r="I5779" s="137">
        <f>I5778</f>
        <v>0</v>
      </c>
    </row>
    <row r="5780" spans="2:10" ht="15.95" customHeight="1" x14ac:dyDescent="0.25">
      <c r="C5780" s="158" t="s">
        <v>390</v>
      </c>
      <c r="D5780" s="159" t="s">
        <v>391</v>
      </c>
      <c r="E5780" s="160"/>
      <c r="F5780" s="160"/>
      <c r="G5780" s="161"/>
      <c r="H5780" s="162">
        <f>IF(AND(D5780&lt;&gt;"",F5780&lt;&gt;""),IF(C5780="",IF(F5780="OH",VLOOKUP(D5780,[1]UPAH!$B$3:$G$32,7,0),VLOOKUP(D5780,[1]BAHAN!$A$2:$D$3,4,0)),0),0)</f>
        <v>0</v>
      </c>
      <c r="I5780" s="126">
        <f>SUM(I5765:I5779)/2</f>
        <v>184599.82</v>
      </c>
    </row>
    <row r="5781" spans="2:10" ht="15.95" customHeight="1" thickBot="1" x14ac:dyDescent="0.3">
      <c r="C5781" s="147" t="s">
        <v>392</v>
      </c>
      <c r="D5781" s="148" t="s">
        <v>393</v>
      </c>
      <c r="E5781" s="149"/>
      <c r="F5781" s="149"/>
      <c r="G5781" s="164">
        <v>0.1</v>
      </c>
      <c r="H5781" s="151"/>
      <c r="I5781" s="146">
        <f>G5781*I5780</f>
        <v>18459.982</v>
      </c>
    </row>
    <row r="5782" spans="2:10" ht="15.95" customHeight="1" thickBot="1" x14ac:dyDescent="0.3">
      <c r="C5782" s="111" t="s">
        <v>394</v>
      </c>
      <c r="D5782" s="112" t="s">
        <v>395</v>
      </c>
      <c r="E5782" s="134"/>
      <c r="F5782" s="134"/>
      <c r="G5782" s="156"/>
      <c r="H5782" s="136">
        <f>IF(AND(D5782&lt;&gt;"",F5782&lt;&gt;""),IF(C5782="",IF(F5782="OH",VLOOKUP(D5782,[1]UPAH!$B$3:$G$32,7,0),VLOOKUP(D5782,[1]BAHAN!$A$2:$D$3,4,0)),0),0)</f>
        <v>0</v>
      </c>
      <c r="I5782" s="137">
        <f>ROUNDDOWN(I5780+I5781,0)</f>
        <v>203059</v>
      </c>
    </row>
    <row r="5783" spans="2:10" ht="15.95" customHeight="1" x14ac:dyDescent="0.25">
      <c r="C5783" s="109"/>
      <c r="D5783" s="109"/>
      <c r="G5783" s="157"/>
    </row>
    <row r="5784" spans="2:10" ht="15.95" customHeight="1" thickBot="1" x14ac:dyDescent="0.3">
      <c r="B5784" s="109" t="s">
        <v>1284</v>
      </c>
      <c r="C5784" s="104" t="s">
        <v>1285</v>
      </c>
      <c r="G5784" s="157"/>
      <c r="J5784" s="110">
        <f>I5801</f>
        <v>149579</v>
      </c>
    </row>
    <row r="5785" spans="2:10" ht="15.95" customHeight="1" thickBot="1" x14ac:dyDescent="0.3">
      <c r="C5785" s="111" t="s">
        <v>328</v>
      </c>
      <c r="D5785" s="112" t="s">
        <v>359</v>
      </c>
      <c r="E5785" s="113" t="s">
        <v>360</v>
      </c>
      <c r="F5785" s="113" t="s">
        <v>330</v>
      </c>
      <c r="G5785" s="114" t="s">
        <v>361</v>
      </c>
      <c r="H5785" s="112" t="s">
        <v>362</v>
      </c>
      <c r="I5785" s="115" t="s">
        <v>363</v>
      </c>
    </row>
    <row r="5786" spans="2:10" ht="15.95" customHeight="1" x14ac:dyDescent="0.25">
      <c r="C5786" s="116" t="s">
        <v>364</v>
      </c>
      <c r="D5786" s="117" t="s">
        <v>365</v>
      </c>
      <c r="E5786" s="118"/>
      <c r="F5786" s="118"/>
      <c r="G5786" s="165"/>
      <c r="H5786" s="144"/>
      <c r="I5786" s="126"/>
    </row>
    <row r="5787" spans="2:10" ht="15.95" customHeight="1" x14ac:dyDescent="0.25">
      <c r="C5787" s="122"/>
      <c r="D5787" s="117" t="s">
        <v>366</v>
      </c>
      <c r="E5787" s="123" t="s">
        <v>367</v>
      </c>
      <c r="F5787" s="123" t="s">
        <v>368</v>
      </c>
      <c r="G5787" s="124">
        <v>0.125</v>
      </c>
      <c r="H5787" s="125">
        <f>VLOOKUP(D5787,Upah,8,FALSE)</f>
        <v>125000</v>
      </c>
      <c r="I5787" s="126">
        <f>G5787*H5787</f>
        <v>15625</v>
      </c>
    </row>
    <row r="5788" spans="2:10" ht="15.95" customHeight="1" x14ac:dyDescent="0.25">
      <c r="C5788" s="122"/>
      <c r="D5788" s="117" t="s">
        <v>369</v>
      </c>
      <c r="E5788" s="123" t="s">
        <v>370</v>
      </c>
      <c r="F5788" s="123" t="s">
        <v>368</v>
      </c>
      <c r="G5788" s="124">
        <v>0.25</v>
      </c>
      <c r="H5788" s="125">
        <f>VLOOKUP(D5788,Upah,8,FALSE)</f>
        <v>150000</v>
      </c>
      <c r="I5788" s="126">
        <f>G5788*H5788</f>
        <v>37500</v>
      </c>
    </row>
    <row r="5789" spans="2:10" ht="15.95" customHeight="1" x14ac:dyDescent="0.25">
      <c r="C5789" s="122"/>
      <c r="D5789" s="117" t="s">
        <v>429</v>
      </c>
      <c r="E5789" s="123" t="s">
        <v>372</v>
      </c>
      <c r="F5789" s="123" t="s">
        <v>368</v>
      </c>
      <c r="G5789" s="124">
        <v>2.5000000000000001E-2</v>
      </c>
      <c r="H5789" s="125">
        <f>VLOOKUP(D5789,Upah,8,FALSE)</f>
        <v>165000</v>
      </c>
      <c r="I5789" s="126">
        <f>G5789*H5789</f>
        <v>4125</v>
      </c>
    </row>
    <row r="5790" spans="2:10" ht="15.95" customHeight="1" thickBot="1" x14ac:dyDescent="0.3">
      <c r="C5790" s="122"/>
      <c r="D5790" s="117" t="s">
        <v>373</v>
      </c>
      <c r="E5790" s="123" t="s">
        <v>374</v>
      </c>
      <c r="F5790" s="123" t="s">
        <v>368</v>
      </c>
      <c r="G5790" s="124">
        <v>6.0000000000000001E-3</v>
      </c>
      <c r="H5790" s="125">
        <f>VLOOKUP(D5790,Upah,8,FALSE)</f>
        <v>170000</v>
      </c>
      <c r="I5790" s="126">
        <f>G5790*H5790</f>
        <v>1020</v>
      </c>
    </row>
    <row r="5791" spans="2:10" ht="15.95" customHeight="1" thickBot="1" x14ac:dyDescent="0.3">
      <c r="C5791" s="132"/>
      <c r="D5791" s="133"/>
      <c r="E5791" s="134"/>
      <c r="F5791" s="134"/>
      <c r="G5791" s="135" t="s">
        <v>375</v>
      </c>
      <c r="H5791" s="136"/>
      <c r="I5791" s="137">
        <f>SUM(I5787:I5790)</f>
        <v>58270</v>
      </c>
    </row>
    <row r="5792" spans="2:10" ht="15.95" customHeight="1" x14ac:dyDescent="0.25">
      <c r="C5792" s="116" t="s">
        <v>376</v>
      </c>
      <c r="D5792" s="117" t="s">
        <v>377</v>
      </c>
      <c r="E5792" s="118"/>
      <c r="F5792" s="118"/>
      <c r="G5792" s="165"/>
      <c r="H5792" s="144"/>
      <c r="I5792" s="126"/>
    </row>
    <row r="5793" spans="2:10" ht="15.95" customHeight="1" x14ac:dyDescent="0.25">
      <c r="C5793" s="122"/>
      <c r="D5793" s="117" t="s">
        <v>1286</v>
      </c>
      <c r="E5793" s="118"/>
      <c r="F5793" s="123" t="s">
        <v>418</v>
      </c>
      <c r="G5793" s="124">
        <v>2</v>
      </c>
      <c r="H5793" s="144">
        <f>VLOOKUP(D5793,Bahan,6,FALSE)</f>
        <v>30500</v>
      </c>
      <c r="I5793" s="126">
        <f>G5793*H5793</f>
        <v>61000</v>
      </c>
    </row>
    <row r="5794" spans="2:10" ht="15.95" customHeight="1" x14ac:dyDescent="0.25">
      <c r="C5794" s="122"/>
      <c r="D5794" s="117" t="s">
        <v>613</v>
      </c>
      <c r="E5794" s="118"/>
      <c r="F5794" s="123" t="s">
        <v>159</v>
      </c>
      <c r="G5794" s="124">
        <v>0.05</v>
      </c>
      <c r="H5794" s="144">
        <f>VLOOKUP(D5794,Bahan,6,FALSE)</f>
        <v>27970</v>
      </c>
      <c r="I5794" s="126">
        <f>G5794*H5794</f>
        <v>1398.5</v>
      </c>
    </row>
    <row r="5795" spans="2:10" ht="15.95" customHeight="1" thickBot="1" x14ac:dyDescent="0.3">
      <c r="C5795" s="122"/>
      <c r="D5795" s="117" t="s">
        <v>1287</v>
      </c>
      <c r="E5795" s="118"/>
      <c r="F5795" s="123" t="s">
        <v>489</v>
      </c>
      <c r="G5795" s="124">
        <v>3.5000000000000001E-3</v>
      </c>
      <c r="H5795" s="144">
        <f>VLOOKUP(D5795,Bahan,6,FALSE)</f>
        <v>4375000</v>
      </c>
      <c r="I5795" s="126">
        <f>G5795*H5795</f>
        <v>15312.5</v>
      </c>
    </row>
    <row r="5796" spans="2:10" ht="15.95" customHeight="1" thickBot="1" x14ac:dyDescent="0.3">
      <c r="C5796" s="132"/>
      <c r="D5796" s="133"/>
      <c r="E5796" s="134"/>
      <c r="F5796" s="134"/>
      <c r="G5796" s="135" t="s">
        <v>386</v>
      </c>
      <c r="H5796" s="136"/>
      <c r="I5796" s="137">
        <f>SUM(I5793:I5795)</f>
        <v>77711</v>
      </c>
    </row>
    <row r="5797" spans="2:10" ht="15.95" customHeight="1" thickBot="1" x14ac:dyDescent="0.3">
      <c r="C5797" s="116" t="s">
        <v>387</v>
      </c>
      <c r="D5797" s="117" t="s">
        <v>388</v>
      </c>
      <c r="E5797" s="118"/>
      <c r="F5797" s="118"/>
      <c r="G5797" s="165"/>
      <c r="H5797" s="144">
        <f>IF(AND(D5797&lt;&gt;"",F5797&lt;&gt;""),IF(C5797="",IF(F5797="OH",VLOOKUP(D5797,[1]UPAH!$B$3:$G$32,7,0),VLOOKUP(D5797,[1]BAHAN!$A$2:$D$3,4,0)),0),0)</f>
        <v>0</v>
      </c>
      <c r="I5797" s="126">
        <f>G5797*H5797</f>
        <v>0</v>
      </c>
    </row>
    <row r="5798" spans="2:10" ht="15.95" customHeight="1" thickBot="1" x14ac:dyDescent="0.3">
      <c r="C5798" s="132"/>
      <c r="D5798" s="133"/>
      <c r="E5798" s="134"/>
      <c r="F5798" s="134"/>
      <c r="G5798" s="135" t="s">
        <v>389</v>
      </c>
      <c r="H5798" s="136"/>
      <c r="I5798" s="137">
        <f>I5797</f>
        <v>0</v>
      </c>
    </row>
    <row r="5799" spans="2:10" ht="15.95" customHeight="1" x14ac:dyDescent="0.25">
      <c r="C5799" s="158" t="s">
        <v>390</v>
      </c>
      <c r="D5799" s="159" t="s">
        <v>391</v>
      </c>
      <c r="E5799" s="160"/>
      <c r="F5799" s="160"/>
      <c r="G5799" s="161"/>
      <c r="H5799" s="162">
        <f>IF(AND(D5799&lt;&gt;"",F5799&lt;&gt;""),IF(C5799="",IF(F5799="OH",VLOOKUP(D5799,[1]UPAH!$B$3:$G$32,7,0),VLOOKUP(D5799,[1]BAHAN!$A$2:$D$3,4,0)),0),0)</f>
        <v>0</v>
      </c>
      <c r="I5799" s="126">
        <f>SUM(I5787:I5798)/2</f>
        <v>135981</v>
      </c>
    </row>
    <row r="5800" spans="2:10" ht="15.95" customHeight="1" thickBot="1" x14ac:dyDescent="0.3">
      <c r="C5800" s="147" t="s">
        <v>392</v>
      </c>
      <c r="D5800" s="148" t="s">
        <v>393</v>
      </c>
      <c r="E5800" s="149"/>
      <c r="F5800" s="149"/>
      <c r="G5800" s="164">
        <v>0.1</v>
      </c>
      <c r="H5800" s="151"/>
      <c r="I5800" s="146">
        <f>G5800*I5799</f>
        <v>13598.1</v>
      </c>
    </row>
    <row r="5801" spans="2:10" ht="15.95" customHeight="1" thickBot="1" x14ac:dyDescent="0.3">
      <c r="C5801" s="111" t="s">
        <v>394</v>
      </c>
      <c r="D5801" s="112" t="s">
        <v>395</v>
      </c>
      <c r="E5801" s="134"/>
      <c r="F5801" s="134"/>
      <c r="G5801" s="156"/>
      <c r="H5801" s="136">
        <f>IF(AND(D5801&lt;&gt;"",F5801&lt;&gt;""),IF(C5801="",IF(F5801="OH",VLOOKUP(D5801,[1]UPAH!$B$3:$G$32,7,0),VLOOKUP(D5801,[1]BAHAN!$A$2:$D$3,4,0)),0),0)</f>
        <v>0</v>
      </c>
      <c r="I5801" s="137">
        <f>ROUNDDOWN(I5799+I5800,0)</f>
        <v>149579</v>
      </c>
    </row>
    <row r="5802" spans="2:10" ht="15.95" customHeight="1" x14ac:dyDescent="0.25">
      <c r="C5802" s="109"/>
      <c r="D5802" s="109"/>
      <c r="G5802" s="157"/>
    </row>
    <row r="5803" spans="2:10" ht="15.95" customHeight="1" thickBot="1" x14ac:dyDescent="0.3">
      <c r="B5803" s="109" t="s">
        <v>1288</v>
      </c>
      <c r="C5803" s="104" t="s">
        <v>1289</v>
      </c>
      <c r="G5803" s="157"/>
      <c r="J5803" s="110">
        <f>I5819</f>
        <v>177294</v>
      </c>
    </row>
    <row r="5804" spans="2:10" ht="15.95" customHeight="1" thickBot="1" x14ac:dyDescent="0.3">
      <c r="C5804" s="111" t="s">
        <v>328</v>
      </c>
      <c r="D5804" s="112" t="s">
        <v>359</v>
      </c>
      <c r="E5804" s="113" t="s">
        <v>360</v>
      </c>
      <c r="F5804" s="113" t="s">
        <v>330</v>
      </c>
      <c r="G5804" s="114" t="s">
        <v>361</v>
      </c>
      <c r="H5804" s="112" t="s">
        <v>362</v>
      </c>
      <c r="I5804" s="115" t="s">
        <v>363</v>
      </c>
    </row>
    <row r="5805" spans="2:10" ht="15.95" customHeight="1" x14ac:dyDescent="0.25">
      <c r="C5805" s="116" t="s">
        <v>364</v>
      </c>
      <c r="D5805" s="117" t="s">
        <v>365</v>
      </c>
      <c r="E5805" s="118"/>
      <c r="F5805" s="118"/>
      <c r="G5805" s="165"/>
      <c r="H5805" s="144"/>
      <c r="I5805" s="126"/>
    </row>
    <row r="5806" spans="2:10" ht="15.95" customHeight="1" x14ac:dyDescent="0.25">
      <c r="C5806" s="122"/>
      <c r="D5806" s="117" t="s">
        <v>366</v>
      </c>
      <c r="E5806" s="123" t="s">
        <v>367</v>
      </c>
      <c r="F5806" s="123" t="s">
        <v>368</v>
      </c>
      <c r="G5806" s="124">
        <v>0.25</v>
      </c>
      <c r="H5806" s="125">
        <f>VLOOKUP(D5806,Upah,8,FALSE)</f>
        <v>125000</v>
      </c>
      <c r="I5806" s="126">
        <f>G5806*H5806</f>
        <v>31250</v>
      </c>
    </row>
    <row r="5807" spans="2:10" ht="15.95" customHeight="1" x14ac:dyDescent="0.25">
      <c r="C5807" s="122"/>
      <c r="D5807" s="117" t="s">
        <v>369</v>
      </c>
      <c r="E5807" s="123" t="s">
        <v>370</v>
      </c>
      <c r="F5807" s="123" t="s">
        <v>368</v>
      </c>
      <c r="G5807" s="124">
        <v>0.15</v>
      </c>
      <c r="H5807" s="125">
        <f>VLOOKUP(D5807,Upah,8,FALSE)</f>
        <v>150000</v>
      </c>
      <c r="I5807" s="126">
        <f>G5807*H5807</f>
        <v>22500</v>
      </c>
    </row>
    <row r="5808" spans="2:10" ht="15.95" customHeight="1" x14ac:dyDescent="0.25">
      <c r="C5808" s="122"/>
      <c r="D5808" s="117" t="s">
        <v>429</v>
      </c>
      <c r="E5808" s="123" t="s">
        <v>372</v>
      </c>
      <c r="F5808" s="123" t="s">
        <v>368</v>
      </c>
      <c r="G5808" s="124">
        <v>1.4999999999999999E-2</v>
      </c>
      <c r="H5808" s="125">
        <f>VLOOKUP(D5808,Upah,8,FALSE)</f>
        <v>165000</v>
      </c>
      <c r="I5808" s="126">
        <f>G5808*H5808</f>
        <v>2475</v>
      </c>
    </row>
    <row r="5809" spans="2:10" ht="15.95" customHeight="1" thickBot="1" x14ac:dyDescent="0.3">
      <c r="C5809" s="122"/>
      <c r="D5809" s="117" t="s">
        <v>373</v>
      </c>
      <c r="E5809" s="123" t="s">
        <v>374</v>
      </c>
      <c r="F5809" s="123" t="s">
        <v>368</v>
      </c>
      <c r="G5809" s="124">
        <v>1.2999999999999999E-2</v>
      </c>
      <c r="H5809" s="125">
        <f>VLOOKUP(D5809,Upah,8,FALSE)</f>
        <v>170000</v>
      </c>
      <c r="I5809" s="126">
        <f>G5809*H5809</f>
        <v>2210</v>
      </c>
    </row>
    <row r="5810" spans="2:10" ht="15.95" customHeight="1" thickBot="1" x14ac:dyDescent="0.3">
      <c r="C5810" s="132"/>
      <c r="D5810" s="133"/>
      <c r="E5810" s="134"/>
      <c r="F5810" s="134"/>
      <c r="G5810" s="135" t="s">
        <v>375</v>
      </c>
      <c r="H5810" s="136"/>
      <c r="I5810" s="137">
        <f>SUM(I5806:I5809)</f>
        <v>58435</v>
      </c>
    </row>
    <row r="5811" spans="2:10" ht="15.95" customHeight="1" x14ac:dyDescent="0.25">
      <c r="C5811" s="116" t="s">
        <v>376</v>
      </c>
      <c r="D5811" s="117" t="s">
        <v>377</v>
      </c>
      <c r="E5811" s="118"/>
      <c r="F5811" s="118"/>
      <c r="G5811" s="165"/>
      <c r="H5811" s="144"/>
      <c r="I5811" s="126"/>
    </row>
    <row r="5812" spans="2:10" ht="15.95" customHeight="1" x14ac:dyDescent="0.25">
      <c r="C5812" s="122"/>
      <c r="D5812" s="117" t="s">
        <v>1290</v>
      </c>
      <c r="E5812" s="118"/>
      <c r="F5812" s="123" t="s">
        <v>418</v>
      </c>
      <c r="G5812" s="124">
        <v>1.1000000000000001</v>
      </c>
      <c r="H5812" s="144">
        <f>VLOOKUP(D5812,Bahan,6,FALSE)</f>
        <v>92130</v>
      </c>
      <c r="I5812" s="126">
        <f>G5812*H5812</f>
        <v>101343.00000000001</v>
      </c>
    </row>
    <row r="5813" spans="2:10" ht="15.95" customHeight="1" thickBot="1" x14ac:dyDescent="0.3">
      <c r="C5813" s="122"/>
      <c r="D5813" s="117" t="s">
        <v>613</v>
      </c>
      <c r="E5813" s="118"/>
      <c r="F5813" s="123" t="s">
        <v>159</v>
      </c>
      <c r="G5813" s="124">
        <v>0.05</v>
      </c>
      <c r="H5813" s="144">
        <f>VLOOKUP(D5813,Bahan,6,FALSE)</f>
        <v>27970</v>
      </c>
      <c r="I5813" s="126">
        <f>G5813*H5813</f>
        <v>1398.5</v>
      </c>
    </row>
    <row r="5814" spans="2:10" ht="15.95" customHeight="1" thickBot="1" x14ac:dyDescent="0.3">
      <c r="C5814" s="132"/>
      <c r="D5814" s="133"/>
      <c r="E5814" s="134"/>
      <c r="F5814" s="134"/>
      <c r="G5814" s="135" t="s">
        <v>386</v>
      </c>
      <c r="H5814" s="136"/>
      <c r="I5814" s="137">
        <f>SUM(I5812:I5813)</f>
        <v>102741.50000000001</v>
      </c>
    </row>
    <row r="5815" spans="2:10" ht="15.95" customHeight="1" thickBot="1" x14ac:dyDescent="0.3">
      <c r="C5815" s="116" t="s">
        <v>387</v>
      </c>
      <c r="D5815" s="117" t="s">
        <v>388</v>
      </c>
      <c r="E5815" s="118"/>
      <c r="F5815" s="118"/>
      <c r="G5815" s="165"/>
      <c r="H5815" s="144">
        <f>IF(AND(D5815&lt;&gt;"",F5815&lt;&gt;""),IF(C5815="",IF(F5815="OH",VLOOKUP(D5815,[1]UPAH!$B$3:$G$32,7,0),VLOOKUP(D5815,[1]BAHAN!$A$2:$D$3,4,0)),0),0)</f>
        <v>0</v>
      </c>
      <c r="I5815" s="126">
        <f>G5815*H5815</f>
        <v>0</v>
      </c>
    </row>
    <row r="5816" spans="2:10" ht="15.95" customHeight="1" thickBot="1" x14ac:dyDescent="0.3">
      <c r="C5816" s="132"/>
      <c r="D5816" s="133"/>
      <c r="E5816" s="134"/>
      <c r="F5816" s="134"/>
      <c r="G5816" s="135" t="s">
        <v>389</v>
      </c>
      <c r="H5816" s="136"/>
      <c r="I5816" s="137">
        <f>I5815</f>
        <v>0</v>
      </c>
    </row>
    <row r="5817" spans="2:10" ht="15.95" customHeight="1" x14ac:dyDescent="0.25">
      <c r="C5817" s="158" t="s">
        <v>390</v>
      </c>
      <c r="D5817" s="159" t="s">
        <v>391</v>
      </c>
      <c r="E5817" s="160"/>
      <c r="F5817" s="160"/>
      <c r="G5817" s="161"/>
      <c r="H5817" s="162">
        <f>IF(AND(D5817&lt;&gt;"",F5817&lt;&gt;""),IF(C5817="",IF(F5817="OH",VLOOKUP(D5817,[1]UPAH!$B$3:$G$32,7,0),VLOOKUP(D5817,[1]BAHAN!$A$2:$D$3,4,0)),0),0)</f>
        <v>0</v>
      </c>
      <c r="I5817" s="126">
        <f>SUM(I5806:I5816)/2</f>
        <v>161176.5</v>
      </c>
    </row>
    <row r="5818" spans="2:10" ht="15.95" customHeight="1" thickBot="1" x14ac:dyDescent="0.3">
      <c r="C5818" s="147" t="s">
        <v>392</v>
      </c>
      <c r="D5818" s="148" t="s">
        <v>393</v>
      </c>
      <c r="E5818" s="149"/>
      <c r="F5818" s="149"/>
      <c r="G5818" s="164">
        <v>0.1</v>
      </c>
      <c r="H5818" s="151"/>
      <c r="I5818" s="146">
        <f>G5818*I5817</f>
        <v>16117.650000000001</v>
      </c>
    </row>
    <row r="5819" spans="2:10" ht="15.95" customHeight="1" thickBot="1" x14ac:dyDescent="0.3">
      <c r="C5819" s="111" t="s">
        <v>394</v>
      </c>
      <c r="D5819" s="112" t="s">
        <v>395</v>
      </c>
      <c r="E5819" s="134"/>
      <c r="F5819" s="134"/>
      <c r="G5819" s="156"/>
      <c r="H5819" s="136">
        <f>IF(AND(D5819&lt;&gt;"",F5819&lt;&gt;""),IF(C5819="",IF(F5819="OH",VLOOKUP(D5819,[1]UPAH!$B$3:$G$32,7,0),VLOOKUP(D5819,[1]BAHAN!$A$2:$D$3,4,0)),0),0)</f>
        <v>0</v>
      </c>
      <c r="I5819" s="137">
        <f>ROUNDDOWN(I5817+I5818,0)</f>
        <v>177294</v>
      </c>
    </row>
    <row r="5820" spans="2:10" ht="15.95" customHeight="1" x14ac:dyDescent="0.25">
      <c r="C5820" s="109"/>
      <c r="D5820" s="109"/>
      <c r="G5820" s="157"/>
    </row>
    <row r="5821" spans="2:10" ht="15.95" customHeight="1" thickBot="1" x14ac:dyDescent="0.3">
      <c r="B5821" s="109" t="s">
        <v>1291</v>
      </c>
      <c r="C5821" s="104" t="s">
        <v>1292</v>
      </c>
      <c r="G5821" s="157"/>
      <c r="J5821" s="110">
        <f>I5838</f>
        <v>81693</v>
      </c>
    </row>
    <row r="5822" spans="2:10" ht="15.95" customHeight="1" thickBot="1" x14ac:dyDescent="0.3">
      <c r="C5822" s="111" t="s">
        <v>328</v>
      </c>
      <c r="D5822" s="112" t="s">
        <v>359</v>
      </c>
      <c r="E5822" s="113" t="s">
        <v>360</v>
      </c>
      <c r="F5822" s="113" t="s">
        <v>330</v>
      </c>
      <c r="G5822" s="114" t="s">
        <v>361</v>
      </c>
      <c r="H5822" s="112" t="s">
        <v>362</v>
      </c>
      <c r="I5822" s="115" t="s">
        <v>363</v>
      </c>
    </row>
    <row r="5823" spans="2:10" ht="15.95" customHeight="1" x14ac:dyDescent="0.25">
      <c r="C5823" s="116" t="s">
        <v>364</v>
      </c>
      <c r="D5823" s="117" t="s">
        <v>365</v>
      </c>
      <c r="E5823" s="118"/>
      <c r="F5823" s="118"/>
      <c r="G5823" s="165"/>
      <c r="H5823" s="144"/>
      <c r="I5823" s="126"/>
    </row>
    <row r="5824" spans="2:10" ht="15.95" customHeight="1" x14ac:dyDescent="0.25">
      <c r="C5824" s="122"/>
      <c r="D5824" s="117" t="s">
        <v>366</v>
      </c>
      <c r="E5824" s="123" t="s">
        <v>367</v>
      </c>
      <c r="F5824" s="123" t="s">
        <v>368</v>
      </c>
      <c r="G5824" s="124">
        <v>0.125</v>
      </c>
      <c r="H5824" s="125">
        <f>VLOOKUP(D5824,Upah,8,FALSE)</f>
        <v>125000</v>
      </c>
      <c r="I5824" s="126">
        <f>G5824*H5824</f>
        <v>15625</v>
      </c>
    </row>
    <row r="5825" spans="2:10" ht="15.95" customHeight="1" x14ac:dyDescent="0.25">
      <c r="C5825" s="122"/>
      <c r="D5825" s="117" t="s">
        <v>369</v>
      </c>
      <c r="E5825" s="123" t="s">
        <v>370</v>
      </c>
      <c r="F5825" s="123" t="s">
        <v>368</v>
      </c>
      <c r="G5825" s="124">
        <v>0.25</v>
      </c>
      <c r="H5825" s="125">
        <f>VLOOKUP(D5825,Upah,8,FALSE)</f>
        <v>150000</v>
      </c>
      <c r="I5825" s="126">
        <f>G5825*H5825</f>
        <v>37500</v>
      </c>
    </row>
    <row r="5826" spans="2:10" ht="15.95" customHeight="1" x14ac:dyDescent="0.25">
      <c r="C5826" s="122"/>
      <c r="D5826" s="117" t="s">
        <v>429</v>
      </c>
      <c r="E5826" s="123" t="s">
        <v>372</v>
      </c>
      <c r="F5826" s="123" t="s">
        <v>368</v>
      </c>
      <c r="G5826" s="124">
        <v>2.5000000000000001E-2</v>
      </c>
      <c r="H5826" s="125">
        <f>VLOOKUP(D5826,Upah,8,FALSE)</f>
        <v>165000</v>
      </c>
      <c r="I5826" s="126">
        <f>G5826*H5826</f>
        <v>4125</v>
      </c>
    </row>
    <row r="5827" spans="2:10" ht="15.95" customHeight="1" thickBot="1" x14ac:dyDescent="0.3">
      <c r="C5827" s="122"/>
      <c r="D5827" s="117" t="s">
        <v>373</v>
      </c>
      <c r="E5827" s="123" t="s">
        <v>374</v>
      </c>
      <c r="F5827" s="123" t="s">
        <v>368</v>
      </c>
      <c r="G5827" s="124">
        <v>6.0000000000000001E-3</v>
      </c>
      <c r="H5827" s="125">
        <f>VLOOKUP(D5827,Upah,8,FALSE)</f>
        <v>170000</v>
      </c>
      <c r="I5827" s="126">
        <f>G5827*H5827</f>
        <v>1020</v>
      </c>
    </row>
    <row r="5828" spans="2:10" ht="15.95" customHeight="1" thickBot="1" x14ac:dyDescent="0.3">
      <c r="C5828" s="132"/>
      <c r="D5828" s="133"/>
      <c r="E5828" s="134"/>
      <c r="F5828" s="134"/>
      <c r="G5828" s="135" t="s">
        <v>375</v>
      </c>
      <c r="H5828" s="136"/>
      <c r="I5828" s="137">
        <f>SUM(I5824:I5827)</f>
        <v>58270</v>
      </c>
    </row>
    <row r="5829" spans="2:10" ht="15.95" customHeight="1" x14ac:dyDescent="0.25">
      <c r="C5829" s="116" t="s">
        <v>376</v>
      </c>
      <c r="D5829" s="117" t="s">
        <v>377</v>
      </c>
      <c r="E5829" s="118"/>
      <c r="F5829" s="118"/>
      <c r="G5829" s="165"/>
      <c r="H5829" s="144"/>
      <c r="I5829" s="126"/>
    </row>
    <row r="5830" spans="2:10" ht="15.95" customHeight="1" x14ac:dyDescent="0.25">
      <c r="C5830" s="122"/>
      <c r="D5830" s="117" t="s">
        <v>419</v>
      </c>
      <c r="E5830" s="118"/>
      <c r="F5830" s="123" t="s">
        <v>399</v>
      </c>
      <c r="G5830" s="124">
        <v>0.4</v>
      </c>
      <c r="H5830" s="144">
        <f>VLOOKUP(D5830,Bahan,6,FALSE)</f>
        <v>33000</v>
      </c>
      <c r="I5830" s="126">
        <f>G5830*H5830</f>
        <v>13200</v>
      </c>
    </row>
    <row r="5831" spans="2:10" ht="15.95" customHeight="1" x14ac:dyDescent="0.25">
      <c r="C5831" s="122"/>
      <c r="D5831" s="117" t="s">
        <v>613</v>
      </c>
      <c r="E5831" s="118"/>
      <c r="F5831" s="123" t="s">
        <v>159</v>
      </c>
      <c r="G5831" s="124">
        <v>0.05</v>
      </c>
      <c r="H5831" s="144">
        <f>VLOOKUP(D5831,Bahan,6,FALSE)</f>
        <v>27970</v>
      </c>
      <c r="I5831" s="126">
        <f>G5831*H5831</f>
        <v>1398.5</v>
      </c>
    </row>
    <row r="5832" spans="2:10" ht="15.95" customHeight="1" thickBot="1" x14ac:dyDescent="0.3">
      <c r="C5832" s="122"/>
      <c r="D5832" s="117" t="s">
        <v>613</v>
      </c>
      <c r="E5832" s="118"/>
      <c r="F5832" s="123" t="s">
        <v>159</v>
      </c>
      <c r="G5832" s="124">
        <v>0.05</v>
      </c>
      <c r="H5832" s="144">
        <f>VLOOKUP(D5832,Bahan,6,FALSE)</f>
        <v>27970</v>
      </c>
      <c r="I5832" s="126">
        <f>G5832*H5832</f>
        <v>1398.5</v>
      </c>
    </row>
    <row r="5833" spans="2:10" ht="15.95" customHeight="1" thickBot="1" x14ac:dyDescent="0.3">
      <c r="C5833" s="132"/>
      <c r="D5833" s="133"/>
      <c r="E5833" s="134"/>
      <c r="F5833" s="134"/>
      <c r="G5833" s="135" t="s">
        <v>386</v>
      </c>
      <c r="H5833" s="136"/>
      <c r="I5833" s="137">
        <f>SUM(I5830:I5832)</f>
        <v>15997</v>
      </c>
    </row>
    <row r="5834" spans="2:10" ht="15.95" customHeight="1" thickBot="1" x14ac:dyDescent="0.3">
      <c r="C5834" s="116" t="s">
        <v>387</v>
      </c>
      <c r="D5834" s="117" t="s">
        <v>388</v>
      </c>
      <c r="E5834" s="118"/>
      <c r="F5834" s="118"/>
      <c r="G5834" s="165"/>
      <c r="H5834" s="144">
        <f>IF(AND(D5834&lt;&gt;"",F5834&lt;&gt;""),IF(C5834="",IF(F5834="OH",VLOOKUP(D5834,[1]UPAH!$B$3:$G$32,7,0),VLOOKUP(D5834,[1]BAHAN!$A$2:$D$3,4,0)),0),0)</f>
        <v>0</v>
      </c>
      <c r="I5834" s="126">
        <f>G5834*H5834</f>
        <v>0</v>
      </c>
    </row>
    <row r="5835" spans="2:10" ht="15.95" customHeight="1" thickBot="1" x14ac:dyDescent="0.3">
      <c r="C5835" s="132"/>
      <c r="D5835" s="133"/>
      <c r="E5835" s="134"/>
      <c r="F5835" s="134"/>
      <c r="G5835" s="135" t="s">
        <v>389</v>
      </c>
      <c r="H5835" s="136"/>
      <c r="I5835" s="137">
        <f>I5834</f>
        <v>0</v>
      </c>
    </row>
    <row r="5836" spans="2:10" ht="15.95" customHeight="1" x14ac:dyDescent="0.25">
      <c r="C5836" s="158" t="s">
        <v>390</v>
      </c>
      <c r="D5836" s="159" t="s">
        <v>391</v>
      </c>
      <c r="E5836" s="160"/>
      <c r="F5836" s="160"/>
      <c r="G5836" s="161"/>
      <c r="H5836" s="162">
        <f>IF(AND(D5836&lt;&gt;"",F5836&lt;&gt;""),IF(C5836="",IF(F5836="OH",VLOOKUP(D5836,[1]UPAH!$B$3:$G$32,7,0),VLOOKUP(D5836,[1]BAHAN!$A$2:$D$3,4,0)),0),0)</f>
        <v>0</v>
      </c>
      <c r="I5836" s="126">
        <f>SUM(I5824:I5835)/2</f>
        <v>74267</v>
      </c>
    </row>
    <row r="5837" spans="2:10" ht="15.95" customHeight="1" thickBot="1" x14ac:dyDescent="0.3">
      <c r="C5837" s="147" t="s">
        <v>392</v>
      </c>
      <c r="D5837" s="148" t="s">
        <v>393</v>
      </c>
      <c r="E5837" s="149"/>
      <c r="F5837" s="149"/>
      <c r="G5837" s="164">
        <v>0.1</v>
      </c>
      <c r="H5837" s="151"/>
      <c r="I5837" s="146">
        <f>G5837*I5836</f>
        <v>7426.7000000000007</v>
      </c>
    </row>
    <row r="5838" spans="2:10" ht="15.95" customHeight="1" thickBot="1" x14ac:dyDescent="0.3">
      <c r="C5838" s="111" t="s">
        <v>394</v>
      </c>
      <c r="D5838" s="112" t="s">
        <v>395</v>
      </c>
      <c r="E5838" s="134"/>
      <c r="F5838" s="134"/>
      <c r="G5838" s="156"/>
      <c r="H5838" s="136">
        <f>IF(AND(D5838&lt;&gt;"",F5838&lt;&gt;""),IF(C5838="",IF(F5838="OH",VLOOKUP(D5838,[1]UPAH!$B$3:$G$32,7,0),VLOOKUP(D5838,[1]BAHAN!$A$2:$D$3,4,0)),0),0)</f>
        <v>0</v>
      </c>
      <c r="I5838" s="137">
        <f>ROUNDDOWN(I5836+I5837,0)</f>
        <v>81693</v>
      </c>
    </row>
    <row r="5839" spans="2:10" ht="15.95" customHeight="1" x14ac:dyDescent="0.25">
      <c r="C5839" s="109"/>
      <c r="D5839" s="109"/>
      <c r="G5839" s="157"/>
    </row>
    <row r="5840" spans="2:10" ht="15.95" customHeight="1" thickBot="1" x14ac:dyDescent="0.3">
      <c r="B5840" s="109" t="s">
        <v>1293</v>
      </c>
      <c r="C5840" s="104" t="s">
        <v>1294</v>
      </c>
      <c r="G5840" s="157"/>
      <c r="J5840" s="110">
        <f>I5857</f>
        <v>78121</v>
      </c>
    </row>
    <row r="5841" spans="3:9" ht="15.95" customHeight="1" thickBot="1" x14ac:dyDescent="0.3">
      <c r="C5841" s="111" t="s">
        <v>328</v>
      </c>
      <c r="D5841" s="112" t="s">
        <v>359</v>
      </c>
      <c r="E5841" s="113" t="s">
        <v>360</v>
      </c>
      <c r="F5841" s="113" t="s">
        <v>330</v>
      </c>
      <c r="G5841" s="114" t="s">
        <v>361</v>
      </c>
      <c r="H5841" s="112" t="s">
        <v>362</v>
      </c>
      <c r="I5841" s="115" t="s">
        <v>363</v>
      </c>
    </row>
    <row r="5842" spans="3:9" ht="15.95" customHeight="1" x14ac:dyDescent="0.25">
      <c r="C5842" s="116" t="s">
        <v>364</v>
      </c>
      <c r="D5842" s="117" t="s">
        <v>365</v>
      </c>
      <c r="E5842" s="118"/>
      <c r="F5842" s="118"/>
      <c r="G5842" s="165"/>
      <c r="H5842" s="144"/>
      <c r="I5842" s="126"/>
    </row>
    <row r="5843" spans="3:9" ht="15.95" customHeight="1" x14ac:dyDescent="0.25">
      <c r="C5843" s="116" t="s">
        <v>364</v>
      </c>
      <c r="D5843" s="117" t="s">
        <v>365</v>
      </c>
      <c r="E5843" s="118"/>
      <c r="F5843" s="118"/>
      <c r="G5843" s="165"/>
      <c r="H5843" s="144">
        <f>IF(AND(D5843&lt;&gt;"",F5843&lt;&gt;""),IF(C5843="",IF(F5843="OH",VLOOKUP(D5843,[1]UPAH!$B$3:$G$32,7,0),VLOOKUP(D5843,[1]BAHAN!$A$2:$D$3,4,0)),0),0)</f>
        <v>0</v>
      </c>
      <c r="I5843" s="126">
        <f>G5843*H5843</f>
        <v>0</v>
      </c>
    </row>
    <row r="5844" spans="3:9" ht="15.95" customHeight="1" x14ac:dyDescent="0.25">
      <c r="C5844" s="122"/>
      <c r="D5844" s="117" t="s">
        <v>366</v>
      </c>
      <c r="E5844" s="123" t="s">
        <v>367</v>
      </c>
      <c r="F5844" s="123" t="s">
        <v>368</v>
      </c>
      <c r="G5844" s="124">
        <v>0.12</v>
      </c>
      <c r="H5844" s="125">
        <f>VLOOKUP(D5844,Upah,8,FALSE)</f>
        <v>125000</v>
      </c>
      <c r="I5844" s="126">
        <f>G5844*H5844</f>
        <v>15000</v>
      </c>
    </row>
    <row r="5845" spans="3:9" ht="15.95" customHeight="1" x14ac:dyDescent="0.25">
      <c r="C5845" s="122"/>
      <c r="D5845" s="117" t="s">
        <v>369</v>
      </c>
      <c r="E5845" s="123" t="s">
        <v>370</v>
      </c>
      <c r="F5845" s="123" t="s">
        <v>368</v>
      </c>
      <c r="G5845" s="124">
        <v>0.06</v>
      </c>
      <c r="H5845" s="125">
        <f>VLOOKUP(D5845,Upah,8,FALSE)</f>
        <v>150000</v>
      </c>
      <c r="I5845" s="126">
        <f>G5845*H5845</f>
        <v>9000</v>
      </c>
    </row>
    <row r="5846" spans="3:9" ht="15.95" customHeight="1" x14ac:dyDescent="0.25">
      <c r="C5846" s="122"/>
      <c r="D5846" s="117" t="s">
        <v>429</v>
      </c>
      <c r="E5846" s="123" t="s">
        <v>372</v>
      </c>
      <c r="F5846" s="123" t="s">
        <v>368</v>
      </c>
      <c r="G5846" s="124">
        <v>6.0000000000000001E-3</v>
      </c>
      <c r="H5846" s="125">
        <f>VLOOKUP(D5846,Upah,8,FALSE)</f>
        <v>165000</v>
      </c>
      <c r="I5846" s="126">
        <f>G5846*H5846</f>
        <v>990</v>
      </c>
    </row>
    <row r="5847" spans="3:9" ht="15.95" customHeight="1" thickBot="1" x14ac:dyDescent="0.3">
      <c r="C5847" s="122"/>
      <c r="D5847" s="117" t="s">
        <v>373</v>
      </c>
      <c r="E5847" s="123" t="s">
        <v>374</v>
      </c>
      <c r="F5847" s="123" t="s">
        <v>368</v>
      </c>
      <c r="G5847" s="124">
        <v>6.0000000000000001E-3</v>
      </c>
      <c r="H5847" s="125">
        <f>VLOOKUP(D5847,Upah,8,FALSE)</f>
        <v>170000</v>
      </c>
      <c r="I5847" s="126">
        <f>G5847*H5847</f>
        <v>1020</v>
      </c>
    </row>
    <row r="5848" spans="3:9" ht="15.95" customHeight="1" thickBot="1" x14ac:dyDescent="0.3">
      <c r="C5848" s="132"/>
      <c r="D5848" s="133"/>
      <c r="E5848" s="134"/>
      <c r="F5848" s="134"/>
      <c r="G5848" s="135" t="s">
        <v>375</v>
      </c>
      <c r="H5848" s="136"/>
      <c r="I5848" s="137">
        <f>SUM(I5844:I5847)</f>
        <v>26010</v>
      </c>
    </row>
    <row r="5849" spans="3:9" ht="15.95" customHeight="1" x14ac:dyDescent="0.25">
      <c r="C5849" s="116" t="s">
        <v>376</v>
      </c>
      <c r="D5849" s="117" t="s">
        <v>377</v>
      </c>
      <c r="E5849" s="118"/>
      <c r="F5849" s="118"/>
      <c r="G5849" s="165"/>
      <c r="H5849" s="144"/>
      <c r="I5849" s="126"/>
    </row>
    <row r="5850" spans="3:9" ht="15.95" customHeight="1" x14ac:dyDescent="0.25">
      <c r="C5850" s="122"/>
      <c r="D5850" s="117" t="s">
        <v>398</v>
      </c>
      <c r="E5850" s="118"/>
      <c r="F5850" s="123" t="s">
        <v>399</v>
      </c>
      <c r="G5850" s="124">
        <v>0.7</v>
      </c>
      <c r="H5850" s="144">
        <f>VLOOKUP(D5850,Bahan,6,FALSE)</f>
        <v>63500</v>
      </c>
      <c r="I5850" s="126">
        <f>G5850*H5850</f>
        <v>44450</v>
      </c>
    </row>
    <row r="5851" spans="3:9" ht="15.95" customHeight="1" thickBot="1" x14ac:dyDescent="0.3">
      <c r="C5851" s="122"/>
      <c r="D5851" s="117" t="s">
        <v>613</v>
      </c>
      <c r="E5851" s="118"/>
      <c r="F5851" s="123" t="s">
        <v>159</v>
      </c>
      <c r="G5851" s="124">
        <v>0.02</v>
      </c>
      <c r="H5851" s="144">
        <f>VLOOKUP(D5851,Bahan,6,FALSE)</f>
        <v>27970</v>
      </c>
      <c r="I5851" s="126">
        <f>G5851*H5851</f>
        <v>559.4</v>
      </c>
    </row>
    <row r="5852" spans="3:9" ht="15.95" customHeight="1" thickBot="1" x14ac:dyDescent="0.3">
      <c r="C5852" s="132"/>
      <c r="D5852" s="133"/>
      <c r="E5852" s="134"/>
      <c r="F5852" s="134"/>
      <c r="G5852" s="135" t="s">
        <v>386</v>
      </c>
      <c r="H5852" s="136"/>
      <c r="I5852" s="137">
        <f>SUM(I5850:I5851)</f>
        <v>45009.4</v>
      </c>
    </row>
    <row r="5853" spans="3:9" ht="15.95" customHeight="1" thickBot="1" x14ac:dyDescent="0.3">
      <c r="C5853" s="116" t="s">
        <v>387</v>
      </c>
      <c r="D5853" s="117" t="s">
        <v>388</v>
      </c>
      <c r="E5853" s="118"/>
      <c r="F5853" s="118"/>
      <c r="G5853" s="165"/>
      <c r="H5853" s="144">
        <f>IF(AND(D5853&lt;&gt;"",F5853&lt;&gt;""),IF(C5853="",IF(F5853="OH",VLOOKUP(D5853,[1]UPAH!$B$3:$G$32,7,0),VLOOKUP(D5853,[1]BAHAN!$A$2:$D$3,4,0)),0),0)</f>
        <v>0</v>
      </c>
      <c r="I5853" s="126">
        <f>G5853*H5853</f>
        <v>0</v>
      </c>
    </row>
    <row r="5854" spans="3:9" ht="15.95" customHeight="1" thickBot="1" x14ac:dyDescent="0.3">
      <c r="C5854" s="132"/>
      <c r="D5854" s="133"/>
      <c r="E5854" s="134"/>
      <c r="F5854" s="134"/>
      <c r="G5854" s="135" t="s">
        <v>389</v>
      </c>
      <c r="H5854" s="136"/>
      <c r="I5854" s="137">
        <f>I5853</f>
        <v>0</v>
      </c>
    </row>
    <row r="5855" spans="3:9" ht="15.95" customHeight="1" x14ac:dyDescent="0.25">
      <c r="C5855" s="158" t="s">
        <v>390</v>
      </c>
      <c r="D5855" s="159" t="s">
        <v>391</v>
      </c>
      <c r="E5855" s="160"/>
      <c r="F5855" s="160"/>
      <c r="G5855" s="161"/>
      <c r="H5855" s="162">
        <f>IF(AND(D5855&lt;&gt;"",F5855&lt;&gt;""),IF(C5855="",IF(F5855="OH",VLOOKUP(D5855,[1]UPAH!$B$3:$G$32,7,0),VLOOKUP(D5855,[1]BAHAN!$A$2:$D$3,4,0)),0),0)</f>
        <v>0</v>
      </c>
      <c r="I5855" s="126">
        <f>SUM(I5844:I5854)/2</f>
        <v>71019.399999999994</v>
      </c>
    </row>
    <row r="5856" spans="3:9" ht="15.95" customHeight="1" thickBot="1" x14ac:dyDescent="0.3">
      <c r="C5856" s="147" t="s">
        <v>392</v>
      </c>
      <c r="D5856" s="148" t="s">
        <v>393</v>
      </c>
      <c r="E5856" s="149"/>
      <c r="F5856" s="149"/>
      <c r="G5856" s="164">
        <v>0.1</v>
      </c>
      <c r="H5856" s="151"/>
      <c r="I5856" s="146">
        <f>G5856*I5855</f>
        <v>7101.94</v>
      </c>
    </row>
    <row r="5857" spans="1:10" ht="15.95" customHeight="1" thickBot="1" x14ac:dyDescent="0.3">
      <c r="C5857" s="111" t="s">
        <v>394</v>
      </c>
      <c r="D5857" s="112" t="s">
        <v>395</v>
      </c>
      <c r="E5857" s="134"/>
      <c r="F5857" s="134"/>
      <c r="G5857" s="156"/>
      <c r="H5857" s="136">
        <f>IF(AND(D5857&lt;&gt;"",F5857&lt;&gt;""),IF(C5857="",IF(F5857="OH",VLOOKUP(D5857,[1]UPAH!$B$3:$G$32,7,0),VLOOKUP(D5857,[1]BAHAN!$A$2:$D$3,4,0)),0),0)</f>
        <v>0</v>
      </c>
      <c r="I5857" s="137">
        <f>ROUNDDOWN(I5855+I5856,0)</f>
        <v>78121</v>
      </c>
    </row>
    <row r="5858" spans="1:10" ht="15.95" customHeight="1" x14ac:dyDescent="0.25">
      <c r="C5858" s="109"/>
      <c r="D5858" s="109"/>
      <c r="G5858" s="157"/>
    </row>
    <row r="5859" spans="1:10" ht="15.95" customHeight="1" thickBot="1" x14ac:dyDescent="0.3">
      <c r="A5859" s="209"/>
      <c r="B5859" s="247" t="s">
        <v>1295</v>
      </c>
      <c r="C5859" s="104" t="s">
        <v>1296</v>
      </c>
      <c r="G5859" s="157"/>
      <c r="J5859" s="110">
        <f>I5875</f>
        <v>46688</v>
      </c>
    </row>
    <row r="5860" spans="1:10" ht="15.95" customHeight="1" thickBot="1" x14ac:dyDescent="0.3">
      <c r="C5860" s="111" t="s">
        <v>328</v>
      </c>
      <c r="D5860" s="112" t="s">
        <v>359</v>
      </c>
      <c r="E5860" s="113" t="s">
        <v>360</v>
      </c>
      <c r="F5860" s="113" t="s">
        <v>330</v>
      </c>
      <c r="G5860" s="114" t="s">
        <v>361</v>
      </c>
      <c r="H5860" s="112" t="s">
        <v>362</v>
      </c>
      <c r="I5860" s="115" t="s">
        <v>363</v>
      </c>
    </row>
    <row r="5861" spans="1:10" ht="15.95" customHeight="1" x14ac:dyDescent="0.25">
      <c r="C5861" s="116" t="s">
        <v>364</v>
      </c>
      <c r="D5861" s="117" t="s">
        <v>365</v>
      </c>
      <c r="E5861" s="118"/>
      <c r="F5861" s="118"/>
      <c r="G5861" s="165"/>
      <c r="H5861" s="144"/>
      <c r="I5861" s="126"/>
    </row>
    <row r="5862" spans="1:10" ht="15.95" customHeight="1" x14ac:dyDescent="0.25">
      <c r="C5862" s="122"/>
      <c r="D5862" s="117" t="s">
        <v>366</v>
      </c>
      <c r="E5862" s="123" t="s">
        <v>367</v>
      </c>
      <c r="F5862" s="123" t="s">
        <v>368</v>
      </c>
      <c r="G5862" s="124">
        <v>0.15</v>
      </c>
      <c r="H5862" s="125">
        <f>VLOOKUP(D5862,Upah,8,FALSE)</f>
        <v>125000</v>
      </c>
      <c r="I5862" s="126">
        <f>G5862*H5862</f>
        <v>18750</v>
      </c>
    </row>
    <row r="5863" spans="1:10" ht="15.95" customHeight="1" x14ac:dyDescent="0.25">
      <c r="C5863" s="122"/>
      <c r="D5863" s="117" t="s">
        <v>369</v>
      </c>
      <c r="E5863" s="123" t="s">
        <v>370</v>
      </c>
      <c r="F5863" s="123" t="s">
        <v>368</v>
      </c>
      <c r="G5863" s="124">
        <v>7.0000000000000007E-2</v>
      </c>
      <c r="H5863" s="125">
        <f>VLOOKUP(D5863,Upah,8,FALSE)</f>
        <v>150000</v>
      </c>
      <c r="I5863" s="126">
        <f>G5863*H5863</f>
        <v>10500.000000000002</v>
      </c>
    </row>
    <row r="5864" spans="1:10" ht="15.95" customHeight="1" x14ac:dyDescent="0.25">
      <c r="C5864" s="122"/>
      <c r="D5864" s="117" t="s">
        <v>429</v>
      </c>
      <c r="E5864" s="123" t="s">
        <v>372</v>
      </c>
      <c r="F5864" s="123" t="s">
        <v>368</v>
      </c>
      <c r="G5864" s="124">
        <v>7.0000000000000001E-3</v>
      </c>
      <c r="H5864" s="125">
        <f>VLOOKUP(D5864,Upah,8,FALSE)</f>
        <v>165000</v>
      </c>
      <c r="I5864" s="126">
        <f>G5864*H5864</f>
        <v>1155</v>
      </c>
    </row>
    <row r="5865" spans="1:10" ht="15.95" customHeight="1" thickBot="1" x14ac:dyDescent="0.3">
      <c r="C5865" s="122"/>
      <c r="D5865" s="117" t="s">
        <v>373</v>
      </c>
      <c r="E5865" s="123" t="s">
        <v>374</v>
      </c>
      <c r="F5865" s="123" t="s">
        <v>368</v>
      </c>
      <c r="G5865" s="124">
        <v>6.0000000000000001E-3</v>
      </c>
      <c r="H5865" s="125">
        <f>VLOOKUP(D5865,Upah,8,FALSE)</f>
        <v>170000</v>
      </c>
      <c r="I5865" s="126">
        <f>G5865*H5865</f>
        <v>1020</v>
      </c>
    </row>
    <row r="5866" spans="1:10" ht="15.95" customHeight="1" thickBot="1" x14ac:dyDescent="0.3">
      <c r="C5866" s="132"/>
      <c r="D5866" s="133"/>
      <c r="E5866" s="134"/>
      <c r="F5866" s="134"/>
      <c r="G5866" s="135" t="s">
        <v>375</v>
      </c>
      <c r="H5866" s="136"/>
      <c r="I5866" s="137">
        <f>SUM(I5862:I5865)</f>
        <v>31425</v>
      </c>
    </row>
    <row r="5867" spans="1:10" ht="15.95" customHeight="1" x14ac:dyDescent="0.25">
      <c r="C5867" s="116" t="s">
        <v>376</v>
      </c>
      <c r="D5867" s="117" t="s">
        <v>377</v>
      </c>
      <c r="E5867" s="118"/>
      <c r="F5867" s="118"/>
      <c r="G5867" s="165"/>
      <c r="H5867" s="144"/>
      <c r="I5867" s="126"/>
    </row>
    <row r="5868" spans="1:10" ht="15.95" customHeight="1" x14ac:dyDescent="0.25">
      <c r="C5868" s="122"/>
      <c r="D5868" s="117" t="s">
        <v>419</v>
      </c>
      <c r="E5868" s="118"/>
      <c r="F5868" s="123" t="s">
        <v>399</v>
      </c>
      <c r="G5868" s="124">
        <v>0.3</v>
      </c>
      <c r="H5868" s="144">
        <f>VLOOKUP(D5868,Bahan,6,FALSE)</f>
        <v>33000</v>
      </c>
      <c r="I5868" s="126">
        <f>G5868*H5868</f>
        <v>9900</v>
      </c>
    </row>
    <row r="5869" spans="1:10" ht="15.95" customHeight="1" thickBot="1" x14ac:dyDescent="0.3">
      <c r="C5869" s="122"/>
      <c r="D5869" s="117" t="s">
        <v>613</v>
      </c>
      <c r="E5869" s="118"/>
      <c r="F5869" s="123" t="s">
        <v>159</v>
      </c>
      <c r="G5869" s="124">
        <v>0.04</v>
      </c>
      <c r="H5869" s="144">
        <f>VLOOKUP(D5869,Bahan,6,FALSE)</f>
        <v>27970</v>
      </c>
      <c r="I5869" s="126">
        <f>G5869*H5869</f>
        <v>1118.8</v>
      </c>
    </row>
    <row r="5870" spans="1:10" ht="15.95" customHeight="1" thickBot="1" x14ac:dyDescent="0.3">
      <c r="C5870" s="132"/>
      <c r="D5870" s="133"/>
      <c r="E5870" s="134"/>
      <c r="F5870" s="134"/>
      <c r="G5870" s="135" t="s">
        <v>386</v>
      </c>
      <c r="H5870" s="136"/>
      <c r="I5870" s="137">
        <f>SUM(I5868:I5869)</f>
        <v>11018.8</v>
      </c>
    </row>
    <row r="5871" spans="1:10" ht="15.95" customHeight="1" thickBot="1" x14ac:dyDescent="0.3">
      <c r="C5871" s="116" t="s">
        <v>387</v>
      </c>
      <c r="D5871" s="117" t="s">
        <v>388</v>
      </c>
      <c r="E5871" s="118"/>
      <c r="F5871" s="118"/>
      <c r="G5871" s="165"/>
      <c r="H5871" s="144">
        <f>IF(AND(D5871&lt;&gt;"",F5871&lt;&gt;""),IF(C5871="",IF(F5871="OH",VLOOKUP(D5871,[1]UPAH!$B$3:$G$32,7,0),VLOOKUP(D5871,[1]BAHAN!$A$2:$D$3,4,0)),0),0)</f>
        <v>0</v>
      </c>
      <c r="I5871" s="126">
        <f>G5871*H5871</f>
        <v>0</v>
      </c>
    </row>
    <row r="5872" spans="1:10" ht="15.95" customHeight="1" thickBot="1" x14ac:dyDescent="0.3">
      <c r="C5872" s="132"/>
      <c r="D5872" s="133"/>
      <c r="E5872" s="134"/>
      <c r="F5872" s="134"/>
      <c r="G5872" s="135" t="s">
        <v>389</v>
      </c>
      <c r="H5872" s="136"/>
      <c r="I5872" s="137">
        <f>I5871</f>
        <v>0</v>
      </c>
    </row>
    <row r="5873" spans="2:10" ht="15.95" customHeight="1" x14ac:dyDescent="0.25">
      <c r="C5873" s="158" t="s">
        <v>390</v>
      </c>
      <c r="D5873" s="159" t="s">
        <v>391</v>
      </c>
      <c r="E5873" s="160"/>
      <c r="F5873" s="160"/>
      <c r="G5873" s="161"/>
      <c r="H5873" s="162">
        <f>IF(AND(D5873&lt;&gt;"",F5873&lt;&gt;""),IF(C5873="",IF(F5873="OH",VLOOKUP(D5873,[1]UPAH!$B$3:$G$32,7,0),VLOOKUP(D5873,[1]BAHAN!$A$2:$D$3,4,0)),0),0)</f>
        <v>0</v>
      </c>
      <c r="I5873" s="126">
        <f>SUM(I5862:I5872)/2</f>
        <v>42443.8</v>
      </c>
    </row>
    <row r="5874" spans="2:10" ht="15.95" customHeight="1" thickBot="1" x14ac:dyDescent="0.3">
      <c r="C5874" s="147" t="s">
        <v>392</v>
      </c>
      <c r="D5874" s="148" t="s">
        <v>393</v>
      </c>
      <c r="E5874" s="149"/>
      <c r="F5874" s="149"/>
      <c r="G5874" s="164">
        <v>0.1</v>
      </c>
      <c r="H5874" s="151"/>
      <c r="I5874" s="146">
        <f>G5874*I5873</f>
        <v>4244.38</v>
      </c>
    </row>
    <row r="5875" spans="2:10" ht="15.95" customHeight="1" thickBot="1" x14ac:dyDescent="0.3">
      <c r="C5875" s="111" t="s">
        <v>394</v>
      </c>
      <c r="D5875" s="112" t="s">
        <v>395</v>
      </c>
      <c r="E5875" s="134"/>
      <c r="F5875" s="134"/>
      <c r="G5875" s="156"/>
      <c r="H5875" s="136">
        <f>IF(AND(D5875&lt;&gt;"",F5875&lt;&gt;""),IF(C5875="",IF(F5875="OH",VLOOKUP(D5875,[1]UPAH!$B$3:$G$32,7,0),VLOOKUP(D5875,[1]BAHAN!$A$2:$D$3,4,0)),0),0)</f>
        <v>0</v>
      </c>
      <c r="I5875" s="137">
        <f>ROUNDDOWN(I5873+I5874,0)</f>
        <v>46688</v>
      </c>
    </row>
    <row r="5876" spans="2:10" ht="15.95" customHeight="1" x14ac:dyDescent="0.25">
      <c r="C5876" s="109"/>
      <c r="D5876" s="109"/>
      <c r="G5876" s="157"/>
    </row>
    <row r="5877" spans="2:10" ht="15.95" customHeight="1" thickBot="1" x14ac:dyDescent="0.3">
      <c r="B5877" s="109" t="s">
        <v>1297</v>
      </c>
      <c r="C5877" s="104" t="s">
        <v>1298</v>
      </c>
      <c r="G5877" s="157"/>
      <c r="J5877" s="110">
        <f>I5893</f>
        <v>357942</v>
      </c>
    </row>
    <row r="5878" spans="2:10" ht="15.95" customHeight="1" thickBot="1" x14ac:dyDescent="0.3">
      <c r="C5878" s="111" t="s">
        <v>328</v>
      </c>
      <c r="D5878" s="112" t="s">
        <v>359</v>
      </c>
      <c r="E5878" s="113" t="s">
        <v>360</v>
      </c>
      <c r="F5878" s="113" t="s">
        <v>330</v>
      </c>
      <c r="G5878" s="114" t="s">
        <v>361</v>
      </c>
      <c r="H5878" s="112" t="s">
        <v>362</v>
      </c>
      <c r="I5878" s="115" t="s">
        <v>363</v>
      </c>
    </row>
    <row r="5879" spans="2:10" ht="15.95" customHeight="1" x14ac:dyDescent="0.25">
      <c r="C5879" s="116" t="s">
        <v>364</v>
      </c>
      <c r="D5879" s="117" t="s">
        <v>365</v>
      </c>
      <c r="E5879" s="118"/>
      <c r="F5879" s="118"/>
      <c r="G5879" s="165"/>
      <c r="H5879" s="144"/>
      <c r="I5879" s="126"/>
    </row>
    <row r="5880" spans="2:10" ht="15.95" customHeight="1" x14ac:dyDescent="0.25">
      <c r="C5880" s="122"/>
      <c r="D5880" s="117" t="s">
        <v>366</v>
      </c>
      <c r="E5880" s="123" t="s">
        <v>367</v>
      </c>
      <c r="F5880" s="123" t="s">
        <v>368</v>
      </c>
      <c r="G5880" s="124">
        <v>0.15</v>
      </c>
      <c r="H5880" s="125">
        <f>VLOOKUP(D5880,Upah,8,FALSE)</f>
        <v>125000</v>
      </c>
      <c r="I5880" s="126">
        <f>G5880*H5880</f>
        <v>18750</v>
      </c>
    </row>
    <row r="5881" spans="2:10" ht="15.95" customHeight="1" x14ac:dyDescent="0.25">
      <c r="C5881" s="122"/>
      <c r="D5881" s="117" t="s">
        <v>369</v>
      </c>
      <c r="E5881" s="123" t="s">
        <v>370</v>
      </c>
      <c r="F5881" s="123" t="s">
        <v>368</v>
      </c>
      <c r="G5881" s="124">
        <v>0.75</v>
      </c>
      <c r="H5881" s="125">
        <f>VLOOKUP(D5881,Upah,8,FALSE)</f>
        <v>150000</v>
      </c>
      <c r="I5881" s="126">
        <f>G5881*H5881</f>
        <v>112500</v>
      </c>
    </row>
    <row r="5882" spans="2:10" ht="15.95" customHeight="1" x14ac:dyDescent="0.25">
      <c r="C5882" s="122"/>
      <c r="D5882" s="117" t="s">
        <v>429</v>
      </c>
      <c r="E5882" s="123" t="s">
        <v>372</v>
      </c>
      <c r="F5882" s="123" t="s">
        <v>368</v>
      </c>
      <c r="G5882" s="124">
        <v>0.08</v>
      </c>
      <c r="H5882" s="125">
        <f>VLOOKUP(D5882,Upah,8,FALSE)</f>
        <v>165000</v>
      </c>
      <c r="I5882" s="126">
        <f>G5882*H5882</f>
        <v>13200</v>
      </c>
    </row>
    <row r="5883" spans="2:10" ht="15.95" customHeight="1" thickBot="1" x14ac:dyDescent="0.3">
      <c r="C5883" s="122"/>
      <c r="D5883" s="117" t="s">
        <v>373</v>
      </c>
      <c r="E5883" s="123" t="s">
        <v>374</v>
      </c>
      <c r="F5883" s="123" t="s">
        <v>368</v>
      </c>
      <c r="G5883" s="124">
        <v>6.0000000000000001E-3</v>
      </c>
      <c r="H5883" s="125">
        <f>VLOOKUP(D5883,Upah,8,FALSE)</f>
        <v>170000</v>
      </c>
      <c r="I5883" s="126">
        <f>G5883*H5883</f>
        <v>1020</v>
      </c>
    </row>
    <row r="5884" spans="2:10" ht="15.95" customHeight="1" thickBot="1" x14ac:dyDescent="0.3">
      <c r="C5884" s="132"/>
      <c r="D5884" s="133"/>
      <c r="E5884" s="134"/>
      <c r="F5884" s="134"/>
      <c r="G5884" s="135" t="s">
        <v>375</v>
      </c>
      <c r="H5884" s="136"/>
      <c r="I5884" s="137">
        <f>SUM(I5880:I5883)</f>
        <v>145470</v>
      </c>
    </row>
    <row r="5885" spans="2:10" ht="15.95" customHeight="1" x14ac:dyDescent="0.25">
      <c r="C5885" s="116" t="s">
        <v>376</v>
      </c>
      <c r="D5885" s="117" t="s">
        <v>377</v>
      </c>
      <c r="E5885" s="118"/>
      <c r="F5885" s="118"/>
      <c r="G5885" s="165"/>
      <c r="H5885" s="144"/>
      <c r="I5885" s="126"/>
    </row>
    <row r="5886" spans="2:10" ht="15.95" customHeight="1" x14ac:dyDescent="0.25">
      <c r="C5886" s="122"/>
      <c r="D5886" s="117" t="s">
        <v>1299</v>
      </c>
      <c r="E5886" s="118"/>
      <c r="F5886" s="123" t="s">
        <v>399</v>
      </c>
      <c r="G5886" s="124">
        <v>1.05</v>
      </c>
      <c r="H5886" s="144">
        <f>VLOOKUP(D5886,Bahan,6,FALSE)</f>
        <v>171100</v>
      </c>
      <c r="I5886" s="126">
        <f>G5886*H5886</f>
        <v>179655</v>
      </c>
    </row>
    <row r="5887" spans="2:10" ht="15.95" customHeight="1" thickBot="1" x14ac:dyDescent="0.3">
      <c r="C5887" s="122"/>
      <c r="D5887" s="117" t="s">
        <v>1300</v>
      </c>
      <c r="E5887" s="118"/>
      <c r="F5887" s="123" t="s">
        <v>159</v>
      </c>
      <c r="G5887" s="124">
        <v>0.02</v>
      </c>
      <c r="H5887" s="144">
        <f>VLOOKUP(D5887,Bahan,6,FALSE)</f>
        <v>13860</v>
      </c>
      <c r="I5887" s="126">
        <f>G5887*H5887</f>
        <v>277.2</v>
      </c>
    </row>
    <row r="5888" spans="2:10" ht="15.95" customHeight="1" thickBot="1" x14ac:dyDescent="0.3">
      <c r="C5888" s="132"/>
      <c r="D5888" s="133"/>
      <c r="E5888" s="134"/>
      <c r="F5888" s="134"/>
      <c r="G5888" s="135" t="s">
        <v>386</v>
      </c>
      <c r="H5888" s="136"/>
      <c r="I5888" s="137">
        <f>SUM(I5886:I5887)</f>
        <v>179932.2</v>
      </c>
    </row>
    <row r="5889" spans="2:10" ht="15.95" customHeight="1" thickBot="1" x14ac:dyDescent="0.3">
      <c r="C5889" s="116" t="s">
        <v>387</v>
      </c>
      <c r="D5889" s="117" t="s">
        <v>388</v>
      </c>
      <c r="E5889" s="118"/>
      <c r="F5889" s="118"/>
      <c r="G5889" s="165"/>
      <c r="H5889" s="144">
        <f>IF(AND(D5889&lt;&gt;"",F5889&lt;&gt;""),IF(C5889="",IF(F5889="OH",VLOOKUP(D5889,[1]UPAH!$B$3:$G$32,7,0),VLOOKUP(D5889,[1]BAHAN!$A$2:$D$3,4,0)),0),0)</f>
        <v>0</v>
      </c>
      <c r="I5889" s="126">
        <f>G5889*H5889</f>
        <v>0</v>
      </c>
    </row>
    <row r="5890" spans="2:10" ht="15.95" customHeight="1" thickBot="1" x14ac:dyDescent="0.3">
      <c r="C5890" s="132"/>
      <c r="D5890" s="133"/>
      <c r="E5890" s="134"/>
      <c r="F5890" s="134"/>
      <c r="G5890" s="135" t="s">
        <v>389</v>
      </c>
      <c r="H5890" s="136"/>
      <c r="I5890" s="137">
        <f>I5889</f>
        <v>0</v>
      </c>
    </row>
    <row r="5891" spans="2:10" ht="15.95" customHeight="1" x14ac:dyDescent="0.25">
      <c r="C5891" s="158" t="s">
        <v>390</v>
      </c>
      <c r="D5891" s="159" t="s">
        <v>391</v>
      </c>
      <c r="E5891" s="160"/>
      <c r="F5891" s="160"/>
      <c r="G5891" s="161"/>
      <c r="H5891" s="162">
        <f>IF(AND(D5891&lt;&gt;"",F5891&lt;&gt;""),IF(C5891="",IF(F5891="OH",VLOOKUP(D5891,[1]UPAH!$B$3:$G$32,7,0),VLOOKUP(D5891,[1]BAHAN!$A$2:$D$3,4,0)),0),0)</f>
        <v>0</v>
      </c>
      <c r="I5891" s="126">
        <f>SUM(I5880:I5890)/2</f>
        <v>325402.2</v>
      </c>
    </row>
    <row r="5892" spans="2:10" ht="15.95" customHeight="1" thickBot="1" x14ac:dyDescent="0.3">
      <c r="C5892" s="147" t="s">
        <v>392</v>
      </c>
      <c r="D5892" s="148" t="s">
        <v>393</v>
      </c>
      <c r="E5892" s="149"/>
      <c r="F5892" s="149"/>
      <c r="G5892" s="164">
        <v>0.1</v>
      </c>
      <c r="H5892" s="151"/>
      <c r="I5892" s="146">
        <f>G5892*I5891</f>
        <v>32540.22</v>
      </c>
    </row>
    <row r="5893" spans="2:10" ht="15.95" customHeight="1" thickBot="1" x14ac:dyDescent="0.3">
      <c r="C5893" s="111" t="s">
        <v>394</v>
      </c>
      <c r="D5893" s="112" t="s">
        <v>395</v>
      </c>
      <c r="E5893" s="134"/>
      <c r="F5893" s="134"/>
      <c r="G5893" s="156"/>
      <c r="H5893" s="136">
        <f>IF(AND(D5893&lt;&gt;"",F5893&lt;&gt;""),IF(C5893="",IF(F5893="OH",VLOOKUP(D5893,[1]UPAH!$B$3:$G$32,7,0),VLOOKUP(D5893,[1]BAHAN!$A$2:$D$3,4,0)),0),0)</f>
        <v>0</v>
      </c>
      <c r="I5893" s="137">
        <f>ROUNDDOWN(I5891+I5892,0)</f>
        <v>357942</v>
      </c>
    </row>
    <row r="5894" spans="2:10" ht="15.95" customHeight="1" x14ac:dyDescent="0.25">
      <c r="C5894" s="109"/>
      <c r="D5894" s="109"/>
      <c r="G5894" s="157"/>
    </row>
    <row r="5895" spans="2:10" ht="15.95" customHeight="1" thickBot="1" x14ac:dyDescent="0.3">
      <c r="B5895" s="109" t="s">
        <v>1301</v>
      </c>
      <c r="C5895" s="104" t="s">
        <v>1302</v>
      </c>
      <c r="G5895" s="157"/>
      <c r="J5895" s="110">
        <f>I5911</f>
        <v>215571</v>
      </c>
    </row>
    <row r="5896" spans="2:10" ht="15.95" customHeight="1" thickBot="1" x14ac:dyDescent="0.3">
      <c r="C5896" s="111" t="s">
        <v>328</v>
      </c>
      <c r="D5896" s="112" t="s">
        <v>359</v>
      </c>
      <c r="E5896" s="113" t="s">
        <v>360</v>
      </c>
      <c r="F5896" s="113" t="s">
        <v>330</v>
      </c>
      <c r="G5896" s="114" t="s">
        <v>361</v>
      </c>
      <c r="H5896" s="112" t="s">
        <v>362</v>
      </c>
      <c r="I5896" s="115" t="s">
        <v>363</v>
      </c>
    </row>
    <row r="5897" spans="2:10" ht="15.95" customHeight="1" x14ac:dyDescent="0.25">
      <c r="C5897" s="116" t="s">
        <v>364</v>
      </c>
      <c r="D5897" s="117" t="s">
        <v>365</v>
      </c>
      <c r="E5897" s="118"/>
      <c r="F5897" s="118"/>
      <c r="G5897" s="165"/>
      <c r="H5897" s="144"/>
      <c r="I5897" s="126"/>
    </row>
    <row r="5898" spans="2:10" ht="15.95" customHeight="1" x14ac:dyDescent="0.25">
      <c r="C5898" s="122"/>
      <c r="D5898" s="117" t="s">
        <v>366</v>
      </c>
      <c r="E5898" s="123" t="s">
        <v>367</v>
      </c>
      <c r="F5898" s="123" t="s">
        <v>368</v>
      </c>
      <c r="G5898" s="124">
        <v>0.1</v>
      </c>
      <c r="H5898" s="125">
        <f>VLOOKUP(D5898,Upah,8,FALSE)</f>
        <v>125000</v>
      </c>
      <c r="I5898" s="126">
        <f>G5898*H5898</f>
        <v>12500</v>
      </c>
    </row>
    <row r="5899" spans="2:10" ht="15.95" customHeight="1" x14ac:dyDescent="0.25">
      <c r="C5899" s="122"/>
      <c r="D5899" s="117" t="s">
        <v>369</v>
      </c>
      <c r="E5899" s="123" t="s">
        <v>370</v>
      </c>
      <c r="F5899" s="123" t="s">
        <v>368</v>
      </c>
      <c r="G5899" s="124">
        <v>1</v>
      </c>
      <c r="H5899" s="125">
        <f>VLOOKUP(D5899,Upah,8,FALSE)</f>
        <v>150000</v>
      </c>
      <c r="I5899" s="126">
        <f>G5899*H5899</f>
        <v>150000</v>
      </c>
    </row>
    <row r="5900" spans="2:10" ht="15.95" customHeight="1" x14ac:dyDescent="0.25">
      <c r="C5900" s="122"/>
      <c r="D5900" s="117" t="s">
        <v>429</v>
      </c>
      <c r="E5900" s="123" t="s">
        <v>372</v>
      </c>
      <c r="F5900" s="123" t="s">
        <v>368</v>
      </c>
      <c r="G5900" s="124">
        <v>0.1</v>
      </c>
      <c r="H5900" s="125">
        <f>VLOOKUP(D5900,Upah,8,FALSE)</f>
        <v>165000</v>
      </c>
      <c r="I5900" s="126">
        <f>G5900*H5900</f>
        <v>16500</v>
      </c>
    </row>
    <row r="5901" spans="2:10" ht="15.95" customHeight="1" thickBot="1" x14ac:dyDescent="0.3">
      <c r="C5901" s="122"/>
      <c r="D5901" s="117" t="s">
        <v>373</v>
      </c>
      <c r="E5901" s="123" t="s">
        <v>374</v>
      </c>
      <c r="F5901" s="123" t="s">
        <v>368</v>
      </c>
      <c r="G5901" s="124">
        <v>0.05</v>
      </c>
      <c r="H5901" s="125">
        <f>VLOOKUP(D5901,Upah,8,FALSE)</f>
        <v>170000</v>
      </c>
      <c r="I5901" s="126">
        <f>G5901*H5901</f>
        <v>8500</v>
      </c>
    </row>
    <row r="5902" spans="2:10" ht="15.95" customHeight="1" thickBot="1" x14ac:dyDescent="0.3">
      <c r="C5902" s="132"/>
      <c r="D5902" s="133"/>
      <c r="E5902" s="134"/>
      <c r="F5902" s="134"/>
      <c r="G5902" s="135" t="s">
        <v>375</v>
      </c>
      <c r="H5902" s="136"/>
      <c r="I5902" s="137">
        <f>SUM(I5898:I5901)</f>
        <v>187500</v>
      </c>
    </row>
    <row r="5903" spans="2:10" ht="15.95" customHeight="1" x14ac:dyDescent="0.25">
      <c r="C5903" s="116" t="s">
        <v>376</v>
      </c>
      <c r="D5903" s="117" t="s">
        <v>377</v>
      </c>
      <c r="E5903" s="118"/>
      <c r="F5903" s="118"/>
      <c r="G5903" s="165"/>
      <c r="H5903" s="144"/>
      <c r="I5903" s="126"/>
    </row>
    <row r="5904" spans="2:10" ht="15.95" customHeight="1" x14ac:dyDescent="0.25">
      <c r="C5904" s="122"/>
      <c r="D5904" s="117" t="s">
        <v>1303</v>
      </c>
      <c r="E5904" s="118"/>
      <c r="F5904" s="123" t="s">
        <v>418</v>
      </c>
      <c r="G5904" s="124">
        <v>1.2</v>
      </c>
      <c r="H5904" s="144">
        <f>VLOOKUP(D5904,Bahan,6,FALSE)</f>
        <v>6600</v>
      </c>
      <c r="I5904" s="126">
        <f>G5904*H5904</f>
        <v>7920</v>
      </c>
    </row>
    <row r="5905" spans="2:10" ht="15.95" customHeight="1" thickBot="1" x14ac:dyDescent="0.3">
      <c r="C5905" s="122"/>
      <c r="D5905" s="117" t="s">
        <v>1300</v>
      </c>
      <c r="E5905" s="118"/>
      <c r="F5905" s="123" t="s">
        <v>159</v>
      </c>
      <c r="G5905" s="124">
        <v>0.04</v>
      </c>
      <c r="H5905" s="144">
        <f>VLOOKUP(D5905,Bahan,6,FALSE)</f>
        <v>13860</v>
      </c>
      <c r="I5905" s="126">
        <f>G5905*H5905</f>
        <v>554.4</v>
      </c>
    </row>
    <row r="5906" spans="2:10" ht="15.95" customHeight="1" thickBot="1" x14ac:dyDescent="0.3">
      <c r="C5906" s="132"/>
      <c r="D5906" s="133"/>
      <c r="E5906" s="134"/>
      <c r="F5906" s="134"/>
      <c r="G5906" s="135" t="s">
        <v>386</v>
      </c>
      <c r="H5906" s="136"/>
      <c r="I5906" s="137">
        <f>SUM(I5904:I5905)</f>
        <v>8474.4</v>
      </c>
    </row>
    <row r="5907" spans="2:10" ht="15.95" customHeight="1" thickBot="1" x14ac:dyDescent="0.3">
      <c r="C5907" s="116" t="s">
        <v>387</v>
      </c>
      <c r="D5907" s="117" t="s">
        <v>388</v>
      </c>
      <c r="E5907" s="118"/>
      <c r="F5907" s="118"/>
      <c r="G5907" s="165"/>
      <c r="H5907" s="144">
        <f>IF(AND(D5907&lt;&gt;"",F5907&lt;&gt;""),IF(C5907="",IF(F5907="OH",VLOOKUP(D5907,[1]UPAH!$B$3:$G$32,7,0),VLOOKUP(D5907,[1]BAHAN!$A$2:$D$3,4,0)),0),0)</f>
        <v>0</v>
      </c>
      <c r="I5907" s="126">
        <f>G5907*H5907</f>
        <v>0</v>
      </c>
    </row>
    <row r="5908" spans="2:10" ht="15.95" customHeight="1" thickBot="1" x14ac:dyDescent="0.3">
      <c r="C5908" s="132"/>
      <c r="D5908" s="133"/>
      <c r="E5908" s="134"/>
      <c r="F5908" s="134"/>
      <c r="G5908" s="135" t="s">
        <v>389</v>
      </c>
      <c r="H5908" s="136"/>
      <c r="I5908" s="137">
        <f>I5907</f>
        <v>0</v>
      </c>
    </row>
    <row r="5909" spans="2:10" ht="15.95" customHeight="1" x14ac:dyDescent="0.25">
      <c r="C5909" s="158" t="s">
        <v>390</v>
      </c>
      <c r="D5909" s="159" t="s">
        <v>391</v>
      </c>
      <c r="E5909" s="160"/>
      <c r="F5909" s="160"/>
      <c r="G5909" s="161"/>
      <c r="H5909" s="162">
        <f>IF(AND(D5909&lt;&gt;"",F5909&lt;&gt;""),IF(C5909="",IF(F5909="OH",VLOOKUP(D5909,[1]UPAH!$B$3:$G$32,7,0),VLOOKUP(D5909,[1]BAHAN!$A$2:$D$3,4,0)),0),0)</f>
        <v>0</v>
      </c>
      <c r="I5909" s="126">
        <f>SUM(I5898:I5908)/2</f>
        <v>195974.40000000002</v>
      </c>
    </row>
    <row r="5910" spans="2:10" ht="15.95" customHeight="1" thickBot="1" x14ac:dyDescent="0.3">
      <c r="C5910" s="147" t="s">
        <v>392</v>
      </c>
      <c r="D5910" s="148" t="s">
        <v>393</v>
      </c>
      <c r="E5910" s="149"/>
      <c r="F5910" s="149"/>
      <c r="G5910" s="164">
        <v>0.1</v>
      </c>
      <c r="H5910" s="151"/>
      <c r="I5910" s="146">
        <f>G5910*I5909</f>
        <v>19597.440000000002</v>
      </c>
    </row>
    <row r="5911" spans="2:10" ht="15.95" customHeight="1" thickBot="1" x14ac:dyDescent="0.3">
      <c r="C5911" s="111" t="s">
        <v>394</v>
      </c>
      <c r="D5911" s="112" t="s">
        <v>395</v>
      </c>
      <c r="E5911" s="134"/>
      <c r="F5911" s="134"/>
      <c r="G5911" s="156"/>
      <c r="H5911" s="136">
        <f>IF(AND(D5911&lt;&gt;"",F5911&lt;&gt;""),IF(C5911="",IF(F5911="OH",VLOOKUP(D5911,[1]UPAH!$B$3:$G$32,7,0),VLOOKUP(D5911,[1]BAHAN!$A$2:$D$3,4,0)),0),0)</f>
        <v>0</v>
      </c>
      <c r="I5911" s="137">
        <f>ROUNDDOWN(I5909+I5910,0)</f>
        <v>215571</v>
      </c>
    </row>
    <row r="5912" spans="2:10" ht="15.95" customHeight="1" x14ac:dyDescent="0.25">
      <c r="C5912" s="109"/>
      <c r="D5912" s="109"/>
      <c r="G5912" s="157"/>
    </row>
    <row r="5913" spans="2:10" ht="15.95" customHeight="1" thickBot="1" x14ac:dyDescent="0.3">
      <c r="B5913" s="109" t="s">
        <v>1304</v>
      </c>
      <c r="C5913" s="104" t="s">
        <v>1305</v>
      </c>
      <c r="E5913" s="170"/>
      <c r="G5913" s="157"/>
      <c r="J5913" s="110">
        <f>I5928</f>
        <v>69266</v>
      </c>
    </row>
    <row r="5914" spans="2:10" ht="15.95" customHeight="1" thickBot="1" x14ac:dyDescent="0.3">
      <c r="C5914" s="111" t="s">
        <v>328</v>
      </c>
      <c r="D5914" s="112" t="s">
        <v>359</v>
      </c>
      <c r="E5914" s="113" t="s">
        <v>360</v>
      </c>
      <c r="F5914" s="113" t="s">
        <v>330</v>
      </c>
      <c r="G5914" s="114" t="s">
        <v>361</v>
      </c>
      <c r="H5914" s="112" t="s">
        <v>362</v>
      </c>
      <c r="I5914" s="115" t="s">
        <v>363</v>
      </c>
    </row>
    <row r="5915" spans="2:10" ht="15.95" customHeight="1" x14ac:dyDescent="0.25">
      <c r="C5915" s="116" t="s">
        <v>364</v>
      </c>
      <c r="D5915" s="117" t="s">
        <v>365</v>
      </c>
      <c r="E5915" s="118"/>
      <c r="F5915" s="118"/>
      <c r="G5915" s="165"/>
      <c r="H5915" s="144"/>
      <c r="I5915" s="126"/>
    </row>
    <row r="5916" spans="2:10" ht="15.95" customHeight="1" x14ac:dyDescent="0.25">
      <c r="C5916" s="122"/>
      <c r="D5916" s="117" t="s">
        <v>366</v>
      </c>
      <c r="E5916" s="123" t="s">
        <v>367</v>
      </c>
      <c r="F5916" s="123" t="s">
        <v>368</v>
      </c>
      <c r="G5916" s="124">
        <v>0.15</v>
      </c>
      <c r="H5916" s="125">
        <f>VLOOKUP(D5916,Upah,8,FALSE)</f>
        <v>125000</v>
      </c>
      <c r="I5916" s="126">
        <f>G5916*H5916</f>
        <v>18750</v>
      </c>
    </row>
    <row r="5917" spans="2:10" ht="15.95" customHeight="1" x14ac:dyDescent="0.25">
      <c r="C5917" s="122"/>
      <c r="D5917" s="117" t="s">
        <v>369</v>
      </c>
      <c r="E5917" s="123" t="s">
        <v>370</v>
      </c>
      <c r="F5917" s="123" t="s">
        <v>368</v>
      </c>
      <c r="G5917" s="124">
        <v>0.05</v>
      </c>
      <c r="H5917" s="125">
        <f>VLOOKUP(D5917,Upah,8,FALSE)</f>
        <v>150000</v>
      </c>
      <c r="I5917" s="126">
        <f>G5917*H5917</f>
        <v>7500</v>
      </c>
    </row>
    <row r="5918" spans="2:10" ht="15.95" customHeight="1" x14ac:dyDescent="0.25">
      <c r="C5918" s="122"/>
      <c r="D5918" s="117" t="s">
        <v>429</v>
      </c>
      <c r="E5918" s="123" t="s">
        <v>372</v>
      </c>
      <c r="F5918" s="123" t="s">
        <v>368</v>
      </c>
      <c r="G5918" s="124">
        <v>5.0000000000000001E-3</v>
      </c>
      <c r="H5918" s="125">
        <f>VLOOKUP(D5918,Upah,8,FALSE)</f>
        <v>165000</v>
      </c>
      <c r="I5918" s="126">
        <f>G5918*H5918</f>
        <v>825</v>
      </c>
    </row>
    <row r="5919" spans="2:10" ht="15.95" customHeight="1" thickBot="1" x14ac:dyDescent="0.3">
      <c r="C5919" s="122"/>
      <c r="D5919" s="117" t="s">
        <v>373</v>
      </c>
      <c r="E5919" s="123" t="s">
        <v>374</v>
      </c>
      <c r="F5919" s="123" t="s">
        <v>368</v>
      </c>
      <c r="G5919" s="124">
        <v>8.0000000000000002E-3</v>
      </c>
      <c r="H5919" s="125">
        <f>VLOOKUP(D5919,Upah,8,FALSE)</f>
        <v>170000</v>
      </c>
      <c r="I5919" s="126">
        <f>G5919*H5919</f>
        <v>1360</v>
      </c>
    </row>
    <row r="5920" spans="2:10" ht="15.95" customHeight="1" thickBot="1" x14ac:dyDescent="0.3">
      <c r="C5920" s="132"/>
      <c r="D5920" s="133"/>
      <c r="E5920" s="134"/>
      <c r="F5920" s="134"/>
      <c r="G5920" s="135" t="s">
        <v>375</v>
      </c>
      <c r="H5920" s="136"/>
      <c r="I5920" s="137">
        <f>SUM(I5916:I5919)</f>
        <v>28435</v>
      </c>
    </row>
    <row r="5921" spans="1:10" ht="15.95" customHeight="1" x14ac:dyDescent="0.25">
      <c r="C5921" s="116" t="s">
        <v>376</v>
      </c>
      <c r="D5921" s="117" t="s">
        <v>377</v>
      </c>
      <c r="E5921" s="118"/>
      <c r="F5921" s="118"/>
      <c r="G5921" s="165"/>
      <c r="H5921" s="144"/>
      <c r="I5921" s="126"/>
    </row>
    <row r="5922" spans="1:10" ht="15.95" customHeight="1" thickBot="1" x14ac:dyDescent="0.3">
      <c r="C5922" s="122"/>
      <c r="D5922" s="117" t="s">
        <v>1306</v>
      </c>
      <c r="E5922" s="118"/>
      <c r="F5922" s="123" t="s">
        <v>816</v>
      </c>
      <c r="G5922" s="124">
        <v>1.05</v>
      </c>
      <c r="H5922" s="144">
        <f>VLOOKUP(D5922,Bahan,6,FALSE)</f>
        <v>32890</v>
      </c>
      <c r="I5922" s="126">
        <f>G5922*H5922</f>
        <v>34534.5</v>
      </c>
    </row>
    <row r="5923" spans="1:10" ht="15.95" customHeight="1" thickBot="1" x14ac:dyDescent="0.3">
      <c r="C5923" s="132"/>
      <c r="D5923" s="133"/>
      <c r="E5923" s="134"/>
      <c r="F5923" s="134"/>
      <c r="G5923" s="135" t="s">
        <v>386</v>
      </c>
      <c r="H5923" s="136"/>
      <c r="I5923" s="137">
        <f>SUM(I5921:I5922)</f>
        <v>34534.5</v>
      </c>
    </row>
    <row r="5924" spans="1:10" ht="15.95" customHeight="1" thickBot="1" x14ac:dyDescent="0.3">
      <c r="C5924" s="116" t="s">
        <v>387</v>
      </c>
      <c r="D5924" s="117" t="s">
        <v>388</v>
      </c>
      <c r="E5924" s="118"/>
      <c r="F5924" s="118"/>
      <c r="G5924" s="165"/>
      <c r="H5924" s="144">
        <f>IF(AND(D5924&lt;&gt;"",F5924&lt;&gt;""),IF(C5924="",IF(F5924="OH",VLOOKUP(D5924,[1]UPAH!$B$3:$G$32,7,0),VLOOKUP(D5924,[1]BAHAN!$A$2:$D$3,4,0)),0),0)</f>
        <v>0</v>
      </c>
      <c r="I5924" s="126">
        <f>G5924*H5924</f>
        <v>0</v>
      </c>
    </row>
    <row r="5925" spans="1:10" ht="15.95" customHeight="1" thickBot="1" x14ac:dyDescent="0.3">
      <c r="C5925" s="132"/>
      <c r="D5925" s="133"/>
      <c r="E5925" s="134"/>
      <c r="F5925" s="134"/>
      <c r="G5925" s="135" t="s">
        <v>389</v>
      </c>
      <c r="H5925" s="136"/>
      <c r="I5925" s="137">
        <f>I5924</f>
        <v>0</v>
      </c>
    </row>
    <row r="5926" spans="1:10" ht="15.95" customHeight="1" x14ac:dyDescent="0.25">
      <c r="C5926" s="158" t="s">
        <v>390</v>
      </c>
      <c r="D5926" s="159" t="s">
        <v>391</v>
      </c>
      <c r="E5926" s="160"/>
      <c r="F5926" s="160"/>
      <c r="G5926" s="161"/>
      <c r="H5926" s="162">
        <f>IF(AND(D5926&lt;&gt;"",F5926&lt;&gt;""),IF(C5926="",IF(F5926="OH",VLOOKUP(D5926,[1]UPAH!$B$3:$G$32,7,0),VLOOKUP(D5926,[1]BAHAN!$A$2:$D$3,4,0)),0),0)</f>
        <v>0</v>
      </c>
      <c r="I5926" s="126">
        <f>SUM(I5915:I5925)/2</f>
        <v>62969.5</v>
      </c>
    </row>
    <row r="5927" spans="1:10" ht="15.95" customHeight="1" thickBot="1" x14ac:dyDescent="0.3">
      <c r="C5927" s="147" t="s">
        <v>392</v>
      </c>
      <c r="D5927" s="148" t="s">
        <v>393</v>
      </c>
      <c r="E5927" s="149"/>
      <c r="F5927" s="149"/>
      <c r="G5927" s="164">
        <v>0.1</v>
      </c>
      <c r="H5927" s="151"/>
      <c r="I5927" s="146">
        <f>G5927*I5926</f>
        <v>6296.9500000000007</v>
      </c>
    </row>
    <row r="5928" spans="1:10" ht="15.95" customHeight="1" thickBot="1" x14ac:dyDescent="0.3">
      <c r="C5928" s="111" t="s">
        <v>394</v>
      </c>
      <c r="D5928" s="112" t="s">
        <v>395</v>
      </c>
      <c r="E5928" s="134"/>
      <c r="F5928" s="134"/>
      <c r="G5928" s="156"/>
      <c r="H5928" s="136">
        <f>IF(AND(D5928&lt;&gt;"",F5928&lt;&gt;""),IF(C5928="",IF(F5928="OH",VLOOKUP(D5928,[1]UPAH!$B$3:$G$32,7,0),VLOOKUP(D5928,[1]BAHAN!$A$2:$D$3,4,0)),0),0)</f>
        <v>0</v>
      </c>
      <c r="I5928" s="137">
        <f>ROUNDDOWN(I5926+I5927,0)</f>
        <v>69266</v>
      </c>
    </row>
    <row r="5929" spans="1:10" ht="15.95" customHeight="1" x14ac:dyDescent="0.25">
      <c r="C5929" s="109"/>
      <c r="D5929" s="109"/>
      <c r="G5929" s="157"/>
    </row>
    <row r="5930" spans="1:10" ht="15.95" customHeight="1" x14ac:dyDescent="0.25">
      <c r="A5930" s="167" t="s">
        <v>1307</v>
      </c>
      <c r="B5930" s="168" t="s">
        <v>1308</v>
      </c>
      <c r="G5930" s="157"/>
    </row>
    <row r="5931" spans="1:10" ht="15.95" customHeight="1" thickBot="1" x14ac:dyDescent="0.3">
      <c r="B5931" s="109" t="s">
        <v>1309</v>
      </c>
      <c r="C5931" s="104" t="s">
        <v>1310</v>
      </c>
      <c r="G5931" s="157"/>
      <c r="J5931" s="110">
        <f>I5948</f>
        <v>12794289</v>
      </c>
    </row>
    <row r="5932" spans="1:10" ht="15.95" customHeight="1" thickBot="1" x14ac:dyDescent="0.3">
      <c r="C5932" s="111" t="s">
        <v>328</v>
      </c>
      <c r="D5932" s="112" t="s">
        <v>359</v>
      </c>
      <c r="E5932" s="113" t="s">
        <v>360</v>
      </c>
      <c r="F5932" s="113" t="s">
        <v>330</v>
      </c>
      <c r="G5932" s="114" t="s">
        <v>361</v>
      </c>
      <c r="H5932" s="112" t="s">
        <v>362</v>
      </c>
      <c r="I5932" s="115" t="s">
        <v>363</v>
      </c>
    </row>
    <row r="5933" spans="1:10" ht="15.95" customHeight="1" x14ac:dyDescent="0.25">
      <c r="C5933" s="116" t="s">
        <v>364</v>
      </c>
      <c r="D5933" s="117" t="s">
        <v>365</v>
      </c>
      <c r="E5933" s="118"/>
      <c r="F5933" s="118"/>
      <c r="G5933" s="165"/>
      <c r="H5933" s="144"/>
      <c r="I5933" s="126"/>
    </row>
    <row r="5934" spans="1:10" ht="15.95" customHeight="1" x14ac:dyDescent="0.25">
      <c r="C5934" s="122"/>
      <c r="D5934" s="117" t="s">
        <v>366</v>
      </c>
      <c r="E5934" s="123" t="s">
        <v>367</v>
      </c>
      <c r="F5934" s="123" t="s">
        <v>368</v>
      </c>
      <c r="G5934" s="124">
        <v>7</v>
      </c>
      <c r="H5934" s="125">
        <f>VLOOKUP(D5934,Upah,8,FALSE)</f>
        <v>125000</v>
      </c>
      <c r="I5934" s="126">
        <f>G5934*H5934</f>
        <v>875000</v>
      </c>
    </row>
    <row r="5935" spans="1:10" ht="15.95" customHeight="1" x14ac:dyDescent="0.25">
      <c r="C5935" s="122"/>
      <c r="D5935" s="117" t="s">
        <v>611</v>
      </c>
      <c r="E5935" s="123" t="s">
        <v>370</v>
      </c>
      <c r="F5935" s="123" t="s">
        <v>368</v>
      </c>
      <c r="G5935" s="124">
        <v>21</v>
      </c>
      <c r="H5935" s="125">
        <f>VLOOKUP(D5935,Upah,8,FALSE)</f>
        <v>150000</v>
      </c>
      <c r="I5935" s="126">
        <f>G5935*H5935</f>
        <v>3150000</v>
      </c>
    </row>
    <row r="5936" spans="1:10" ht="15.95" customHeight="1" x14ac:dyDescent="0.25">
      <c r="C5936" s="122"/>
      <c r="D5936" s="117" t="s">
        <v>429</v>
      </c>
      <c r="E5936" s="123" t="s">
        <v>372</v>
      </c>
      <c r="F5936" s="123" t="s">
        <v>368</v>
      </c>
      <c r="G5936" s="124">
        <v>2.1</v>
      </c>
      <c r="H5936" s="125">
        <f>VLOOKUP(D5936,Upah,8,FALSE)</f>
        <v>165000</v>
      </c>
      <c r="I5936" s="126">
        <f>G5936*H5936</f>
        <v>346500</v>
      </c>
    </row>
    <row r="5937" spans="2:10" ht="15.95" customHeight="1" thickBot="1" x14ac:dyDescent="0.3">
      <c r="C5937" s="122"/>
      <c r="D5937" s="117" t="s">
        <v>373</v>
      </c>
      <c r="E5937" s="123" t="s">
        <v>374</v>
      </c>
      <c r="F5937" s="123" t="s">
        <v>368</v>
      </c>
      <c r="G5937" s="124">
        <v>0.35</v>
      </c>
      <c r="H5937" s="125">
        <f>VLOOKUP(D5937,Upah,8,FALSE)</f>
        <v>170000</v>
      </c>
      <c r="I5937" s="126">
        <f>G5937*H5937</f>
        <v>59499.999999999993</v>
      </c>
    </row>
    <row r="5938" spans="2:10" ht="15.95" customHeight="1" thickBot="1" x14ac:dyDescent="0.3">
      <c r="C5938" s="132"/>
      <c r="D5938" s="133"/>
      <c r="E5938" s="134"/>
      <c r="F5938" s="134"/>
      <c r="G5938" s="135" t="s">
        <v>375</v>
      </c>
      <c r="H5938" s="136"/>
      <c r="I5938" s="137">
        <f>SUM(I5934:I5937)</f>
        <v>4431000</v>
      </c>
    </row>
    <row r="5939" spans="2:10" ht="15.95" customHeight="1" x14ac:dyDescent="0.25">
      <c r="C5939" s="116" t="s">
        <v>376</v>
      </c>
      <c r="D5939" s="117" t="s">
        <v>377</v>
      </c>
      <c r="E5939" s="118"/>
      <c r="F5939" s="118"/>
      <c r="G5939" s="165"/>
      <c r="H5939" s="144"/>
      <c r="I5939" s="126"/>
    </row>
    <row r="5940" spans="2:10" ht="15.95" customHeight="1" x14ac:dyDescent="0.25">
      <c r="C5940" s="122"/>
      <c r="D5940" s="117" t="s">
        <v>1904</v>
      </c>
      <c r="E5940" s="118"/>
      <c r="F5940" s="123" t="s">
        <v>158</v>
      </c>
      <c r="G5940" s="124">
        <v>1.1000000000000001</v>
      </c>
      <c r="H5940" s="144">
        <f>VLOOKUP(D5940,Bahan,6,FALSE)</f>
        <v>6500000</v>
      </c>
      <c r="I5940" s="126">
        <f>G5940*H5940</f>
        <v>7150000.0000000009</v>
      </c>
    </row>
    <row r="5941" spans="2:10" ht="15.95" customHeight="1" x14ac:dyDescent="0.25">
      <c r="C5941" s="122"/>
      <c r="D5941" s="117" t="s">
        <v>613</v>
      </c>
      <c r="E5941" s="118"/>
      <c r="F5941" s="123" t="s">
        <v>159</v>
      </c>
      <c r="G5941" s="124">
        <v>1.25</v>
      </c>
      <c r="H5941" s="144">
        <f>VLOOKUP(D5941,Bahan,6,FALSE)</f>
        <v>27970</v>
      </c>
      <c r="I5941" s="126">
        <f>G5941*H5941</f>
        <v>34962.5</v>
      </c>
    </row>
    <row r="5942" spans="2:10" ht="15.95" customHeight="1" thickBot="1" x14ac:dyDescent="0.3">
      <c r="C5942" s="122"/>
      <c r="D5942" s="117" t="s">
        <v>1082</v>
      </c>
      <c r="E5942" s="118"/>
      <c r="F5942" s="123" t="s">
        <v>159</v>
      </c>
      <c r="G5942" s="124">
        <v>1</v>
      </c>
      <c r="H5942" s="144">
        <f>VLOOKUP(D5942,Bahan,6,FALSE)</f>
        <v>15210</v>
      </c>
      <c r="I5942" s="126">
        <f>G5942*H5942</f>
        <v>15210</v>
      </c>
    </row>
    <row r="5943" spans="2:10" ht="15.95" customHeight="1" thickBot="1" x14ac:dyDescent="0.3">
      <c r="C5943" s="132"/>
      <c r="D5943" s="133"/>
      <c r="E5943" s="134"/>
      <c r="F5943" s="134"/>
      <c r="G5943" s="135" t="s">
        <v>386</v>
      </c>
      <c r="H5943" s="136"/>
      <c r="I5943" s="137">
        <f>SUM(I5940:I5942)</f>
        <v>7200172.5000000009</v>
      </c>
    </row>
    <row r="5944" spans="2:10" ht="15.95" customHeight="1" thickBot="1" x14ac:dyDescent="0.3">
      <c r="C5944" s="116" t="s">
        <v>387</v>
      </c>
      <c r="D5944" s="117" t="s">
        <v>388</v>
      </c>
      <c r="E5944" s="118"/>
      <c r="F5944" s="118"/>
      <c r="G5944" s="165"/>
      <c r="H5944" s="144">
        <f>IF(AND(D5944&lt;&gt;"",F5944&lt;&gt;""),IF(C5944="",IF(F5944="OH",VLOOKUP(D5944,[1]UPAH!$B$3:$G$32,7,0),VLOOKUP(D5944,[1]BAHAN!$A$2:$D$3,4,0)),0),0)</f>
        <v>0</v>
      </c>
      <c r="I5944" s="126">
        <f>G5944*H5944</f>
        <v>0</v>
      </c>
    </row>
    <row r="5945" spans="2:10" ht="15.95" customHeight="1" thickBot="1" x14ac:dyDescent="0.3">
      <c r="C5945" s="132"/>
      <c r="D5945" s="133"/>
      <c r="E5945" s="134"/>
      <c r="F5945" s="134"/>
      <c r="G5945" s="135" t="s">
        <v>389</v>
      </c>
      <c r="H5945" s="136"/>
      <c r="I5945" s="137">
        <f>I5944</f>
        <v>0</v>
      </c>
    </row>
    <row r="5946" spans="2:10" ht="15.95" customHeight="1" x14ac:dyDescent="0.25">
      <c r="C5946" s="158" t="s">
        <v>390</v>
      </c>
      <c r="D5946" s="159" t="s">
        <v>391</v>
      </c>
      <c r="E5946" s="160"/>
      <c r="F5946" s="160"/>
      <c r="G5946" s="161"/>
      <c r="H5946" s="162">
        <f>IF(AND(D5946&lt;&gt;"",F5946&lt;&gt;""),IF(C5946="",IF(F5946="OH",VLOOKUP(D5946,[1]UPAH!$B$3:$G$32,7,0),VLOOKUP(D5946,[1]BAHAN!$A$2:$D$3,4,0)),0),0)</f>
        <v>0</v>
      </c>
      <c r="I5946" s="126">
        <f>SUM(I5934:I5945)/2</f>
        <v>11631172.5</v>
      </c>
    </row>
    <row r="5947" spans="2:10" ht="15.95" customHeight="1" thickBot="1" x14ac:dyDescent="0.3">
      <c r="C5947" s="147" t="s">
        <v>392</v>
      </c>
      <c r="D5947" s="148" t="s">
        <v>393</v>
      </c>
      <c r="E5947" s="149"/>
      <c r="F5947" s="149"/>
      <c r="G5947" s="164">
        <v>0.1</v>
      </c>
      <c r="H5947" s="151"/>
      <c r="I5947" s="146">
        <f>G5947*I5946</f>
        <v>1163117.25</v>
      </c>
    </row>
    <row r="5948" spans="2:10" ht="15.95" customHeight="1" thickBot="1" x14ac:dyDescent="0.3">
      <c r="C5948" s="111" t="s">
        <v>394</v>
      </c>
      <c r="D5948" s="112" t="s">
        <v>395</v>
      </c>
      <c r="E5948" s="134"/>
      <c r="F5948" s="134"/>
      <c r="G5948" s="156"/>
      <c r="H5948" s="136">
        <f>IF(AND(D5948&lt;&gt;"",F5948&lt;&gt;""),IF(C5948="",IF(F5948="OH",VLOOKUP(D5948,[1]UPAH!$B$3:$G$32,7,0),VLOOKUP(D5948,[1]BAHAN!$A$2:$D$3,4,0)),0),0)</f>
        <v>0</v>
      </c>
      <c r="I5948" s="137">
        <f>ROUNDDOWN(I5946+I5947,0)</f>
        <v>12794289</v>
      </c>
    </row>
    <row r="5949" spans="2:10" ht="15.95" customHeight="1" x14ac:dyDescent="0.25">
      <c r="C5949" s="109"/>
      <c r="D5949" s="109"/>
      <c r="G5949" s="157"/>
    </row>
    <row r="5950" spans="2:10" ht="15.95" customHeight="1" thickBot="1" x14ac:dyDescent="0.3">
      <c r="B5950" s="247" t="s">
        <v>1311</v>
      </c>
      <c r="C5950" s="104" t="s">
        <v>1312</v>
      </c>
      <c r="G5950" s="157"/>
      <c r="J5950" s="110">
        <f>I5967</f>
        <v>10054189</v>
      </c>
    </row>
    <row r="5951" spans="2:10" ht="15.95" customHeight="1" thickBot="1" x14ac:dyDescent="0.3">
      <c r="C5951" s="111" t="s">
        <v>328</v>
      </c>
      <c r="D5951" s="112" t="s">
        <v>359</v>
      </c>
      <c r="E5951" s="113" t="s">
        <v>360</v>
      </c>
      <c r="F5951" s="113" t="s">
        <v>330</v>
      </c>
      <c r="G5951" s="114" t="s">
        <v>361</v>
      </c>
      <c r="H5951" s="112" t="s">
        <v>362</v>
      </c>
      <c r="I5951" s="115" t="s">
        <v>363</v>
      </c>
    </row>
    <row r="5952" spans="2:10" ht="15.95" customHeight="1" x14ac:dyDescent="0.25">
      <c r="C5952" s="116" t="s">
        <v>364</v>
      </c>
      <c r="D5952" s="117" t="s">
        <v>365</v>
      </c>
      <c r="E5952" s="118"/>
      <c r="F5952" s="118"/>
      <c r="G5952" s="165"/>
      <c r="H5952" s="144"/>
      <c r="I5952" s="126"/>
    </row>
    <row r="5953" spans="3:9" ht="15.95" customHeight="1" x14ac:dyDescent="0.25">
      <c r="C5953" s="122"/>
      <c r="D5953" s="117" t="s">
        <v>366</v>
      </c>
      <c r="E5953" s="123" t="s">
        <v>367</v>
      </c>
      <c r="F5953" s="123" t="s">
        <v>368</v>
      </c>
      <c r="G5953" s="124">
        <v>6</v>
      </c>
      <c r="H5953" s="125">
        <f>VLOOKUP(D5953,Upah,8,FALSE)</f>
        <v>125000</v>
      </c>
      <c r="I5953" s="126">
        <f>G5953*H5953</f>
        <v>750000</v>
      </c>
    </row>
    <row r="5954" spans="3:9" ht="15.95" customHeight="1" x14ac:dyDescent="0.25">
      <c r="C5954" s="122"/>
      <c r="D5954" s="117" t="s">
        <v>611</v>
      </c>
      <c r="E5954" s="123" t="s">
        <v>370</v>
      </c>
      <c r="F5954" s="123" t="s">
        <v>368</v>
      </c>
      <c r="G5954" s="124">
        <v>18</v>
      </c>
      <c r="H5954" s="125">
        <f>VLOOKUP(D5954,Upah,8,FALSE)</f>
        <v>150000</v>
      </c>
      <c r="I5954" s="126">
        <f>G5954*H5954</f>
        <v>2700000</v>
      </c>
    </row>
    <row r="5955" spans="3:9" ht="15.95" customHeight="1" x14ac:dyDescent="0.25">
      <c r="C5955" s="122"/>
      <c r="D5955" s="117" t="s">
        <v>429</v>
      </c>
      <c r="E5955" s="123" t="s">
        <v>372</v>
      </c>
      <c r="F5955" s="123" t="s">
        <v>368</v>
      </c>
      <c r="G5955" s="124">
        <v>1.8</v>
      </c>
      <c r="H5955" s="125">
        <f>VLOOKUP(D5955,Upah,8,FALSE)</f>
        <v>165000</v>
      </c>
      <c r="I5955" s="126">
        <f>G5955*H5955</f>
        <v>297000</v>
      </c>
    </row>
    <row r="5956" spans="3:9" ht="15.95" customHeight="1" thickBot="1" x14ac:dyDescent="0.3">
      <c r="C5956" s="122"/>
      <c r="D5956" s="117" t="s">
        <v>373</v>
      </c>
      <c r="E5956" s="123" t="s">
        <v>374</v>
      </c>
      <c r="F5956" s="123" t="s">
        <v>368</v>
      </c>
      <c r="G5956" s="124">
        <v>0.3</v>
      </c>
      <c r="H5956" s="125">
        <f>VLOOKUP(D5956,Upah,8,FALSE)</f>
        <v>170000</v>
      </c>
      <c r="I5956" s="126">
        <f>G5956*H5956</f>
        <v>51000</v>
      </c>
    </row>
    <row r="5957" spans="3:9" ht="15.95" customHeight="1" thickBot="1" x14ac:dyDescent="0.3">
      <c r="C5957" s="132"/>
      <c r="D5957" s="133"/>
      <c r="E5957" s="134"/>
      <c r="F5957" s="134"/>
      <c r="G5957" s="135" t="s">
        <v>375</v>
      </c>
      <c r="H5957" s="136"/>
      <c r="I5957" s="137">
        <f>SUM(I5953:I5956)</f>
        <v>3798000</v>
      </c>
    </row>
    <row r="5958" spans="3:9" ht="15.95" customHeight="1" x14ac:dyDescent="0.25">
      <c r="C5958" s="116" t="s">
        <v>376</v>
      </c>
      <c r="D5958" s="117" t="s">
        <v>377</v>
      </c>
      <c r="E5958" s="118"/>
      <c r="F5958" s="118"/>
      <c r="G5958" s="165"/>
      <c r="H5958" s="144"/>
      <c r="I5958" s="126"/>
    </row>
    <row r="5959" spans="3:9" ht="15.95" customHeight="1" x14ac:dyDescent="0.25">
      <c r="C5959" s="122"/>
      <c r="D5959" s="117" t="s">
        <v>594</v>
      </c>
      <c r="E5959" s="118"/>
      <c r="F5959" s="123" t="s">
        <v>158</v>
      </c>
      <c r="G5959" s="124">
        <v>1.2</v>
      </c>
      <c r="H5959" s="144">
        <f>VLOOKUP(D5959,Bahan,6,FALSE)</f>
        <v>4410000</v>
      </c>
      <c r="I5959" s="126">
        <f>G5959*H5959</f>
        <v>5292000</v>
      </c>
    </row>
    <row r="5960" spans="3:9" ht="15.95" customHeight="1" x14ac:dyDescent="0.25">
      <c r="C5960" s="122"/>
      <c r="D5960" s="117" t="s">
        <v>613</v>
      </c>
      <c r="E5960" s="118"/>
      <c r="F5960" s="123" t="s">
        <v>159</v>
      </c>
      <c r="G5960" s="124">
        <v>1.25</v>
      </c>
      <c r="H5960" s="144">
        <f>VLOOKUP(D5960,Bahan,6,FALSE)</f>
        <v>27970</v>
      </c>
      <c r="I5960" s="126">
        <f>G5960*H5960</f>
        <v>34962.5</v>
      </c>
    </row>
    <row r="5961" spans="3:9" ht="15.95" customHeight="1" thickBot="1" x14ac:dyDescent="0.3">
      <c r="C5961" s="122"/>
      <c r="D5961" s="117" t="s">
        <v>1082</v>
      </c>
      <c r="E5961" s="118"/>
      <c r="F5961" s="123" t="s">
        <v>159</v>
      </c>
      <c r="G5961" s="124">
        <v>1</v>
      </c>
      <c r="H5961" s="144">
        <f>VLOOKUP(D5961,Bahan,6,FALSE)</f>
        <v>15210</v>
      </c>
      <c r="I5961" s="126">
        <f>G5961*H5961</f>
        <v>15210</v>
      </c>
    </row>
    <row r="5962" spans="3:9" ht="15.95" customHeight="1" thickBot="1" x14ac:dyDescent="0.3">
      <c r="C5962" s="132"/>
      <c r="D5962" s="133"/>
      <c r="E5962" s="134"/>
      <c r="F5962" s="134"/>
      <c r="G5962" s="135" t="s">
        <v>386</v>
      </c>
      <c r="H5962" s="136"/>
      <c r="I5962" s="137">
        <f>SUM(I5959:I5961)</f>
        <v>5342172.5</v>
      </c>
    </row>
    <row r="5963" spans="3:9" ht="15.95" customHeight="1" thickBot="1" x14ac:dyDescent="0.3">
      <c r="C5963" s="116" t="s">
        <v>387</v>
      </c>
      <c r="D5963" s="117" t="s">
        <v>388</v>
      </c>
      <c r="E5963" s="118"/>
      <c r="F5963" s="118"/>
      <c r="G5963" s="165"/>
      <c r="H5963" s="144">
        <f>IF(AND(D5963&lt;&gt;"",F5963&lt;&gt;""),IF(C5963="",IF(F5963="OH",VLOOKUP(D5963,[1]UPAH!$B$3:$G$32,7,0),VLOOKUP(D5963,[1]BAHAN!$A$2:$D$3,4,0)),0),0)</f>
        <v>0</v>
      </c>
      <c r="I5963" s="126">
        <f>G5963*H5963</f>
        <v>0</v>
      </c>
    </row>
    <row r="5964" spans="3:9" ht="15.95" customHeight="1" thickBot="1" x14ac:dyDescent="0.3">
      <c r="C5964" s="132"/>
      <c r="D5964" s="133"/>
      <c r="E5964" s="134"/>
      <c r="F5964" s="134"/>
      <c r="G5964" s="135" t="s">
        <v>389</v>
      </c>
      <c r="H5964" s="136"/>
      <c r="I5964" s="137">
        <f>I5963</f>
        <v>0</v>
      </c>
    </row>
    <row r="5965" spans="3:9" ht="15.95" customHeight="1" x14ac:dyDescent="0.25">
      <c r="C5965" s="158" t="s">
        <v>390</v>
      </c>
      <c r="D5965" s="159" t="s">
        <v>391</v>
      </c>
      <c r="E5965" s="160"/>
      <c r="F5965" s="160"/>
      <c r="G5965" s="161"/>
      <c r="H5965" s="162">
        <f>IF(AND(D5965&lt;&gt;"",F5965&lt;&gt;""),IF(C5965="",IF(F5965="OH",VLOOKUP(D5965,[1]UPAH!$B$3:$G$32,7,0),VLOOKUP(D5965,[1]BAHAN!$A$2:$D$3,4,0)),0),0)</f>
        <v>0</v>
      </c>
      <c r="I5965" s="126">
        <f>SUM(I5953:I5964)/2</f>
        <v>9140172.5</v>
      </c>
    </row>
    <row r="5966" spans="3:9" ht="15.95" customHeight="1" thickBot="1" x14ac:dyDescent="0.3">
      <c r="C5966" s="147" t="s">
        <v>392</v>
      </c>
      <c r="D5966" s="148" t="s">
        <v>393</v>
      </c>
      <c r="E5966" s="149"/>
      <c r="F5966" s="149"/>
      <c r="G5966" s="164">
        <v>0.1</v>
      </c>
      <c r="H5966" s="151"/>
      <c r="I5966" s="146">
        <f>G5966*I5965</f>
        <v>914017.25</v>
      </c>
    </row>
    <row r="5967" spans="3:9" ht="15.95" customHeight="1" thickBot="1" x14ac:dyDescent="0.3">
      <c r="C5967" s="111" t="s">
        <v>394</v>
      </c>
      <c r="D5967" s="112" t="s">
        <v>395</v>
      </c>
      <c r="E5967" s="134"/>
      <c r="F5967" s="134"/>
      <c r="G5967" s="156"/>
      <c r="H5967" s="136">
        <f>IF(AND(D5967&lt;&gt;"",F5967&lt;&gt;""),IF(C5967="",IF(F5967="OH",VLOOKUP(D5967,[1]UPAH!$B$3:$G$32,7,0),VLOOKUP(D5967,[1]BAHAN!$A$2:$D$3,4,0)),0),0)</f>
        <v>0</v>
      </c>
      <c r="I5967" s="137">
        <f>ROUNDDOWN(I5965+I5966,0)</f>
        <v>10054189</v>
      </c>
    </row>
    <row r="5968" spans="3:9" ht="15.95" customHeight="1" x14ac:dyDescent="0.25">
      <c r="C5968" s="109"/>
      <c r="D5968" s="109"/>
      <c r="G5968" s="157"/>
    </row>
    <row r="5969" spans="2:10" ht="15.95" customHeight="1" thickBot="1" x14ac:dyDescent="0.3">
      <c r="B5969" s="109" t="s">
        <v>1313</v>
      </c>
      <c r="C5969" s="104" t="s">
        <v>1314</v>
      </c>
      <c r="G5969" s="157"/>
      <c r="J5969" s="110">
        <f>I5985</f>
        <v>443336</v>
      </c>
    </row>
    <row r="5970" spans="2:10" ht="15.95" customHeight="1" thickBot="1" x14ac:dyDescent="0.3">
      <c r="C5970" s="111" t="s">
        <v>328</v>
      </c>
      <c r="D5970" s="112" t="s">
        <v>359</v>
      </c>
      <c r="E5970" s="113" t="s">
        <v>360</v>
      </c>
      <c r="F5970" s="113" t="s">
        <v>330</v>
      </c>
      <c r="G5970" s="114" t="s">
        <v>361</v>
      </c>
      <c r="H5970" s="112" t="s">
        <v>362</v>
      </c>
      <c r="I5970" s="115" t="s">
        <v>363</v>
      </c>
    </row>
    <row r="5971" spans="2:10" ht="15.95" customHeight="1" x14ac:dyDescent="0.25">
      <c r="C5971" s="116" t="s">
        <v>364</v>
      </c>
      <c r="D5971" s="117" t="s">
        <v>365</v>
      </c>
      <c r="E5971" s="118"/>
      <c r="F5971" s="118"/>
      <c r="G5971" s="165"/>
      <c r="H5971" s="144"/>
      <c r="I5971" s="126"/>
    </row>
    <row r="5972" spans="2:10" ht="15.95" customHeight="1" x14ac:dyDescent="0.25">
      <c r="C5972" s="122"/>
      <c r="D5972" s="117" t="s">
        <v>366</v>
      </c>
      <c r="E5972" s="123" t="s">
        <v>367</v>
      </c>
      <c r="F5972" s="123" t="s">
        <v>368</v>
      </c>
      <c r="G5972" s="124">
        <v>0.35</v>
      </c>
      <c r="H5972" s="125">
        <f>VLOOKUP(D5972,Upah,8,FALSE)</f>
        <v>125000</v>
      </c>
      <c r="I5972" s="126">
        <f>G5972*H5972</f>
        <v>43750</v>
      </c>
    </row>
    <row r="5973" spans="2:10" ht="15.95" customHeight="1" x14ac:dyDescent="0.25">
      <c r="C5973" s="122"/>
      <c r="D5973" s="117" t="s">
        <v>611</v>
      </c>
      <c r="E5973" s="123" t="s">
        <v>370</v>
      </c>
      <c r="F5973" s="123" t="s">
        <v>368</v>
      </c>
      <c r="G5973" s="124">
        <v>1.05</v>
      </c>
      <c r="H5973" s="125">
        <f>VLOOKUP(D5973,Upah,8,FALSE)</f>
        <v>150000</v>
      </c>
      <c r="I5973" s="126">
        <f>G5973*H5973</f>
        <v>157500</v>
      </c>
    </row>
    <row r="5974" spans="2:10" ht="15.95" customHeight="1" x14ac:dyDescent="0.25">
      <c r="C5974" s="122"/>
      <c r="D5974" s="117" t="s">
        <v>429</v>
      </c>
      <c r="E5974" s="123" t="s">
        <v>372</v>
      </c>
      <c r="F5974" s="123" t="s">
        <v>368</v>
      </c>
      <c r="G5974" s="124">
        <v>0.105</v>
      </c>
      <c r="H5974" s="125">
        <f>VLOOKUP(D5974,Upah,8,FALSE)</f>
        <v>165000</v>
      </c>
      <c r="I5974" s="126">
        <f>G5974*H5974</f>
        <v>17325</v>
      </c>
    </row>
    <row r="5975" spans="2:10" ht="15.95" customHeight="1" thickBot="1" x14ac:dyDescent="0.3">
      <c r="C5975" s="122"/>
      <c r="D5975" s="117" t="s">
        <v>373</v>
      </c>
      <c r="E5975" s="123" t="s">
        <v>374</v>
      </c>
      <c r="F5975" s="123" t="s">
        <v>368</v>
      </c>
      <c r="G5975" s="124">
        <v>1.7999999999999999E-2</v>
      </c>
      <c r="H5975" s="125">
        <f>VLOOKUP(D5975,Upah,8,FALSE)</f>
        <v>170000</v>
      </c>
      <c r="I5975" s="126">
        <f>G5975*H5975</f>
        <v>3059.9999999999995</v>
      </c>
    </row>
    <row r="5976" spans="2:10" ht="15.95" customHeight="1" thickBot="1" x14ac:dyDescent="0.3">
      <c r="C5976" s="132"/>
      <c r="D5976" s="133"/>
      <c r="E5976" s="134"/>
      <c r="F5976" s="134"/>
      <c r="G5976" s="135" t="s">
        <v>375</v>
      </c>
      <c r="H5976" s="136"/>
      <c r="I5976" s="137">
        <f>SUM(I5972:I5975)</f>
        <v>221635</v>
      </c>
    </row>
    <row r="5977" spans="2:10" ht="15.95" customHeight="1" x14ac:dyDescent="0.25">
      <c r="C5977" s="116" t="s">
        <v>376</v>
      </c>
      <c r="D5977" s="117" t="s">
        <v>377</v>
      </c>
      <c r="E5977" s="118"/>
      <c r="F5977" s="118"/>
      <c r="G5977" s="165"/>
      <c r="H5977" s="144"/>
      <c r="I5977" s="126"/>
    </row>
    <row r="5978" spans="2:10" ht="15.95" customHeight="1" x14ac:dyDescent="0.25">
      <c r="C5978" s="122"/>
      <c r="D5978" s="117" t="s">
        <v>1315</v>
      </c>
      <c r="E5978" s="118"/>
      <c r="F5978" s="123" t="s">
        <v>158</v>
      </c>
      <c r="G5978" s="124">
        <v>0.04</v>
      </c>
      <c r="H5978" s="144">
        <f>VLOOKUP(D5978,Bahan,6,FALSE)</f>
        <v>4500000</v>
      </c>
      <c r="I5978" s="126">
        <f>G5978*H5978</f>
        <v>180000</v>
      </c>
    </row>
    <row r="5979" spans="2:10" ht="15.95" customHeight="1" thickBot="1" x14ac:dyDescent="0.3">
      <c r="C5979" s="122"/>
      <c r="D5979" s="117" t="s">
        <v>613</v>
      </c>
      <c r="E5979" s="118"/>
      <c r="F5979" s="123" t="s">
        <v>159</v>
      </c>
      <c r="G5979" s="124">
        <v>0.05</v>
      </c>
      <c r="H5979" s="144">
        <f>VLOOKUP(D5979,Bahan,6,FALSE)</f>
        <v>27970</v>
      </c>
      <c r="I5979" s="126">
        <f>G5979*H5979</f>
        <v>1398.5</v>
      </c>
    </row>
    <row r="5980" spans="2:10" ht="15.95" customHeight="1" thickBot="1" x14ac:dyDescent="0.3">
      <c r="C5980" s="132"/>
      <c r="D5980" s="133"/>
      <c r="E5980" s="134"/>
      <c r="F5980" s="134"/>
      <c r="G5980" s="135" t="s">
        <v>386</v>
      </c>
      <c r="H5980" s="136"/>
      <c r="I5980" s="137">
        <f>SUM(I5978:I5979)</f>
        <v>181398.5</v>
      </c>
    </row>
    <row r="5981" spans="2:10" ht="15.95" customHeight="1" thickBot="1" x14ac:dyDescent="0.3">
      <c r="C5981" s="116" t="s">
        <v>387</v>
      </c>
      <c r="D5981" s="117" t="s">
        <v>388</v>
      </c>
      <c r="E5981" s="118"/>
      <c r="F5981" s="118"/>
      <c r="G5981" s="165"/>
      <c r="H5981" s="144">
        <f>IF(AND(D5981&lt;&gt;"",F5981&lt;&gt;""),IF(C5981="",IF(F5981="OH",VLOOKUP(D5981,[1]UPAH!$B$3:$G$32,7,0),VLOOKUP(D5981,[1]BAHAN!$A$2:$D$3,4,0)),0),0)</f>
        <v>0</v>
      </c>
      <c r="I5981" s="126">
        <f>G5981*H5981</f>
        <v>0</v>
      </c>
    </row>
    <row r="5982" spans="2:10" ht="15.95" customHeight="1" thickBot="1" x14ac:dyDescent="0.3">
      <c r="C5982" s="132"/>
      <c r="D5982" s="133"/>
      <c r="E5982" s="134"/>
      <c r="F5982" s="134"/>
      <c r="G5982" s="135" t="s">
        <v>389</v>
      </c>
      <c r="H5982" s="136"/>
      <c r="I5982" s="137">
        <f>I5981</f>
        <v>0</v>
      </c>
    </row>
    <row r="5983" spans="2:10" ht="15.95" customHeight="1" x14ac:dyDescent="0.25">
      <c r="C5983" s="158" t="s">
        <v>390</v>
      </c>
      <c r="D5983" s="159" t="s">
        <v>391</v>
      </c>
      <c r="E5983" s="160"/>
      <c r="F5983" s="160"/>
      <c r="G5983" s="161"/>
      <c r="H5983" s="162">
        <f>IF(AND(D5983&lt;&gt;"",F5983&lt;&gt;""),IF(C5983="",IF(F5983="OH",VLOOKUP(D5983,[1]UPAH!$B$3:$G$32,7,0),VLOOKUP(D5983,[1]BAHAN!$A$2:$D$3,4,0)),0),0)</f>
        <v>0</v>
      </c>
      <c r="I5983" s="126">
        <f>SUM(I5972:I5982)/2</f>
        <v>403033.5</v>
      </c>
    </row>
    <row r="5984" spans="2:10" ht="15.95" customHeight="1" thickBot="1" x14ac:dyDescent="0.3">
      <c r="C5984" s="147" t="s">
        <v>392</v>
      </c>
      <c r="D5984" s="148" t="s">
        <v>393</v>
      </c>
      <c r="E5984" s="149"/>
      <c r="F5984" s="149"/>
      <c r="G5984" s="164">
        <v>0.1</v>
      </c>
      <c r="H5984" s="151"/>
      <c r="I5984" s="146">
        <f>G5984*I5983</f>
        <v>40303.350000000006</v>
      </c>
    </row>
    <row r="5985" spans="2:10" ht="15.95" customHeight="1" thickBot="1" x14ac:dyDescent="0.3">
      <c r="C5985" s="111" t="s">
        <v>394</v>
      </c>
      <c r="D5985" s="112" t="s">
        <v>395</v>
      </c>
      <c r="E5985" s="134"/>
      <c r="F5985" s="134"/>
      <c r="G5985" s="156"/>
      <c r="H5985" s="136">
        <f>IF(AND(D5985&lt;&gt;"",F5985&lt;&gt;""),IF(C5985="",IF(F5985="OH",VLOOKUP(D5985,[1]UPAH!$B$3:$G$32,7,0),VLOOKUP(D5985,[1]BAHAN!$A$2:$D$3,4,0)),0),0)</f>
        <v>0</v>
      </c>
      <c r="I5985" s="137">
        <f>ROUNDDOWN(I5983+I5984,0)</f>
        <v>443336</v>
      </c>
    </row>
    <row r="5986" spans="2:10" ht="15.95" customHeight="1" x14ac:dyDescent="0.25">
      <c r="C5986" s="109"/>
      <c r="D5986" s="109"/>
      <c r="G5986" s="157"/>
    </row>
    <row r="5987" spans="2:10" ht="15.95" customHeight="1" thickBot="1" x14ac:dyDescent="0.3">
      <c r="B5987" s="109" t="s">
        <v>1316</v>
      </c>
      <c r="C5987" s="104" t="s">
        <v>1317</v>
      </c>
      <c r="G5987" s="157"/>
      <c r="J5987" s="110">
        <f>I6003</f>
        <v>443336</v>
      </c>
    </row>
    <row r="5988" spans="2:10" ht="15.95" customHeight="1" thickBot="1" x14ac:dyDescent="0.3">
      <c r="C5988" s="111" t="s">
        <v>328</v>
      </c>
      <c r="D5988" s="112" t="s">
        <v>359</v>
      </c>
      <c r="E5988" s="113" t="s">
        <v>360</v>
      </c>
      <c r="F5988" s="113" t="s">
        <v>330</v>
      </c>
      <c r="G5988" s="114" t="s">
        <v>361</v>
      </c>
      <c r="H5988" s="112" t="s">
        <v>362</v>
      </c>
      <c r="I5988" s="115" t="s">
        <v>363</v>
      </c>
    </row>
    <row r="5989" spans="2:10" ht="15.95" customHeight="1" x14ac:dyDescent="0.25">
      <c r="C5989" s="116" t="s">
        <v>364</v>
      </c>
      <c r="D5989" s="117" t="s">
        <v>365</v>
      </c>
      <c r="E5989" s="118"/>
      <c r="F5989" s="118"/>
      <c r="G5989" s="165"/>
      <c r="H5989" s="144"/>
      <c r="I5989" s="126"/>
    </row>
    <row r="5990" spans="2:10" ht="15.95" customHeight="1" x14ac:dyDescent="0.25">
      <c r="C5990" s="122"/>
      <c r="D5990" s="117" t="s">
        <v>366</v>
      </c>
      <c r="E5990" s="123" t="s">
        <v>367</v>
      </c>
      <c r="F5990" s="123" t="s">
        <v>368</v>
      </c>
      <c r="G5990" s="124">
        <v>0.35</v>
      </c>
      <c r="H5990" s="125">
        <f>VLOOKUP(D5990,Upah,8,FALSE)</f>
        <v>125000</v>
      </c>
      <c r="I5990" s="126">
        <f>G5990*H5990</f>
        <v>43750</v>
      </c>
    </row>
    <row r="5991" spans="2:10" ht="15.95" customHeight="1" x14ac:dyDescent="0.25">
      <c r="C5991" s="122"/>
      <c r="D5991" s="117" t="s">
        <v>611</v>
      </c>
      <c r="E5991" s="123" t="s">
        <v>370</v>
      </c>
      <c r="F5991" s="123" t="s">
        <v>368</v>
      </c>
      <c r="G5991" s="124">
        <v>1.05</v>
      </c>
      <c r="H5991" s="125">
        <f>VLOOKUP(D5991,Upah,8,FALSE)</f>
        <v>150000</v>
      </c>
      <c r="I5991" s="126">
        <f>G5991*H5991</f>
        <v>157500</v>
      </c>
    </row>
    <row r="5992" spans="2:10" ht="15.95" customHeight="1" x14ac:dyDescent="0.25">
      <c r="C5992" s="122"/>
      <c r="D5992" s="117" t="s">
        <v>429</v>
      </c>
      <c r="E5992" s="123" t="s">
        <v>372</v>
      </c>
      <c r="F5992" s="123" t="s">
        <v>368</v>
      </c>
      <c r="G5992" s="124">
        <v>0.105</v>
      </c>
      <c r="H5992" s="125">
        <f>VLOOKUP(D5992,Upah,8,FALSE)</f>
        <v>165000</v>
      </c>
      <c r="I5992" s="126">
        <f>G5992*H5992</f>
        <v>17325</v>
      </c>
    </row>
    <row r="5993" spans="2:10" ht="15.95" customHeight="1" thickBot="1" x14ac:dyDescent="0.3">
      <c r="C5993" s="122"/>
      <c r="D5993" s="117" t="s">
        <v>373</v>
      </c>
      <c r="E5993" s="123" t="s">
        <v>374</v>
      </c>
      <c r="F5993" s="123" t="s">
        <v>368</v>
      </c>
      <c r="G5993" s="124">
        <v>1.7999999999999999E-2</v>
      </c>
      <c r="H5993" s="125">
        <f>VLOOKUP(D5993,Upah,8,FALSE)</f>
        <v>170000</v>
      </c>
      <c r="I5993" s="126">
        <f>G5993*H5993</f>
        <v>3059.9999999999995</v>
      </c>
    </row>
    <row r="5994" spans="2:10" ht="15.95" customHeight="1" thickBot="1" x14ac:dyDescent="0.3">
      <c r="C5994" s="132"/>
      <c r="D5994" s="133"/>
      <c r="E5994" s="134"/>
      <c r="F5994" s="134"/>
      <c r="G5994" s="135" t="s">
        <v>375</v>
      </c>
      <c r="H5994" s="136"/>
      <c r="I5994" s="137">
        <f>SUM(I5990:I5993)</f>
        <v>221635</v>
      </c>
    </row>
    <row r="5995" spans="2:10" ht="15.95" customHeight="1" x14ac:dyDescent="0.25">
      <c r="C5995" s="116" t="s">
        <v>376</v>
      </c>
      <c r="D5995" s="117" t="s">
        <v>377</v>
      </c>
      <c r="E5995" s="118"/>
      <c r="F5995" s="118"/>
      <c r="G5995" s="165"/>
      <c r="H5995" s="144"/>
      <c r="I5995" s="126"/>
    </row>
    <row r="5996" spans="2:10" ht="15.95" customHeight="1" x14ac:dyDescent="0.25">
      <c r="C5996" s="122"/>
      <c r="D5996" s="117" t="s">
        <v>1315</v>
      </c>
      <c r="E5996" s="118"/>
      <c r="F5996" s="123" t="s">
        <v>158</v>
      </c>
      <c r="G5996" s="124">
        <v>0.04</v>
      </c>
      <c r="H5996" s="144">
        <f>VLOOKUP(D5996,Bahan,6,FALSE)</f>
        <v>4500000</v>
      </c>
      <c r="I5996" s="126">
        <f>G5996*H5996</f>
        <v>180000</v>
      </c>
    </row>
    <row r="5997" spans="2:10" ht="15.95" customHeight="1" thickBot="1" x14ac:dyDescent="0.3">
      <c r="C5997" s="122"/>
      <c r="D5997" s="117" t="s">
        <v>613</v>
      </c>
      <c r="E5997" s="118"/>
      <c r="F5997" s="123" t="s">
        <v>159</v>
      </c>
      <c r="G5997" s="124">
        <v>0.05</v>
      </c>
      <c r="H5997" s="144">
        <f>VLOOKUP(D5997,Bahan,6,FALSE)</f>
        <v>27970</v>
      </c>
      <c r="I5997" s="126">
        <f>G5997*H5997</f>
        <v>1398.5</v>
      </c>
    </row>
    <row r="5998" spans="2:10" ht="15.95" customHeight="1" thickBot="1" x14ac:dyDescent="0.3">
      <c r="C5998" s="132"/>
      <c r="D5998" s="133"/>
      <c r="E5998" s="134"/>
      <c r="F5998" s="134"/>
      <c r="G5998" s="135" t="s">
        <v>386</v>
      </c>
      <c r="H5998" s="136"/>
      <c r="I5998" s="137">
        <f>SUM(I5996:I5997)</f>
        <v>181398.5</v>
      </c>
    </row>
    <row r="5999" spans="2:10" ht="15.95" customHeight="1" thickBot="1" x14ac:dyDescent="0.3">
      <c r="C5999" s="116" t="s">
        <v>387</v>
      </c>
      <c r="D5999" s="117" t="s">
        <v>388</v>
      </c>
      <c r="E5999" s="118"/>
      <c r="F5999" s="118"/>
      <c r="G5999" s="165"/>
      <c r="H5999" s="144">
        <f>IF(AND(D5999&lt;&gt;"",F5999&lt;&gt;""),IF(C5999="",IF(F5999="OH",VLOOKUP(D5999,[1]UPAH!$B$3:$G$32,7,0),VLOOKUP(D5999,[1]BAHAN!$A$2:$D$3,4,0)),0),0)</f>
        <v>0</v>
      </c>
      <c r="I5999" s="126">
        <f>G5999*H5999</f>
        <v>0</v>
      </c>
    </row>
    <row r="6000" spans="2:10" ht="15.95" customHeight="1" thickBot="1" x14ac:dyDescent="0.3">
      <c r="C6000" s="132"/>
      <c r="D6000" s="133"/>
      <c r="E6000" s="134"/>
      <c r="F6000" s="134"/>
      <c r="G6000" s="135" t="s">
        <v>389</v>
      </c>
      <c r="H6000" s="136"/>
      <c r="I6000" s="137">
        <f>I5999</f>
        <v>0</v>
      </c>
    </row>
    <row r="6001" spans="2:10" ht="15.95" customHeight="1" x14ac:dyDescent="0.25">
      <c r="C6001" s="158" t="s">
        <v>390</v>
      </c>
      <c r="D6001" s="159" t="s">
        <v>391</v>
      </c>
      <c r="E6001" s="160"/>
      <c r="F6001" s="160"/>
      <c r="G6001" s="161"/>
      <c r="H6001" s="162">
        <f>IF(AND(D6001&lt;&gt;"",F6001&lt;&gt;""),IF(C6001="",IF(F6001="OH",VLOOKUP(D6001,[1]UPAH!$B$3:$G$32,7,0),VLOOKUP(D6001,[1]BAHAN!$A$2:$D$3,4,0)),0),0)</f>
        <v>0</v>
      </c>
      <c r="I6001" s="126">
        <f>SUM(I5990:I6000)/2</f>
        <v>403033.5</v>
      </c>
    </row>
    <row r="6002" spans="2:10" ht="15.95" customHeight="1" thickBot="1" x14ac:dyDescent="0.3">
      <c r="C6002" s="147" t="s">
        <v>392</v>
      </c>
      <c r="D6002" s="148" t="s">
        <v>393</v>
      </c>
      <c r="E6002" s="149"/>
      <c r="F6002" s="149"/>
      <c r="G6002" s="164">
        <v>0.1</v>
      </c>
      <c r="H6002" s="151"/>
      <c r="I6002" s="146">
        <f>G6002*I6001</f>
        <v>40303.350000000006</v>
      </c>
    </row>
    <row r="6003" spans="2:10" ht="15.95" customHeight="1" thickBot="1" x14ac:dyDescent="0.3">
      <c r="C6003" s="111" t="s">
        <v>394</v>
      </c>
      <c r="D6003" s="112" t="s">
        <v>395</v>
      </c>
      <c r="E6003" s="134"/>
      <c r="F6003" s="134"/>
      <c r="G6003" s="156"/>
      <c r="H6003" s="136">
        <f>IF(AND(D6003&lt;&gt;"",F6003&lt;&gt;""),IF(C6003="",IF(F6003="OH",VLOOKUP(D6003,[1]UPAH!$B$3:$G$32,7,0),VLOOKUP(D6003,[1]BAHAN!$A$2:$D$3,4,0)),0),0)</f>
        <v>0</v>
      </c>
      <c r="I6003" s="137">
        <f>ROUNDDOWN(I6001+I6002,0)</f>
        <v>443336</v>
      </c>
    </row>
    <row r="6004" spans="2:10" ht="15.95" customHeight="1" x14ac:dyDescent="0.25">
      <c r="C6004" s="109"/>
      <c r="D6004" s="109"/>
      <c r="G6004" s="157"/>
    </row>
    <row r="6005" spans="2:10" ht="15.95" customHeight="1" thickBot="1" x14ac:dyDescent="0.3">
      <c r="B6005" s="247" t="s">
        <v>1318</v>
      </c>
      <c r="C6005" s="104" t="s">
        <v>1319</v>
      </c>
      <c r="G6005" s="157"/>
      <c r="J6005" s="110">
        <f>I6021</f>
        <v>902665</v>
      </c>
    </row>
    <row r="6006" spans="2:10" ht="15.95" customHeight="1" thickBot="1" x14ac:dyDescent="0.3">
      <c r="C6006" s="111" t="s">
        <v>328</v>
      </c>
      <c r="D6006" s="112" t="s">
        <v>359</v>
      </c>
      <c r="E6006" s="113" t="s">
        <v>360</v>
      </c>
      <c r="F6006" s="113" t="s">
        <v>330</v>
      </c>
      <c r="G6006" s="114" t="s">
        <v>361</v>
      </c>
      <c r="H6006" s="112" t="s">
        <v>362</v>
      </c>
      <c r="I6006" s="115" t="s">
        <v>363</v>
      </c>
    </row>
    <row r="6007" spans="2:10" ht="15.95" customHeight="1" x14ac:dyDescent="0.25">
      <c r="C6007" s="116" t="s">
        <v>364</v>
      </c>
      <c r="D6007" s="117" t="s">
        <v>365</v>
      </c>
      <c r="E6007" s="118"/>
      <c r="F6007" s="118"/>
      <c r="G6007" s="165"/>
      <c r="H6007" s="144"/>
      <c r="I6007" s="126"/>
    </row>
    <row r="6008" spans="2:10" ht="15.95" customHeight="1" x14ac:dyDescent="0.25">
      <c r="C6008" s="122"/>
      <c r="D6008" s="117" t="s">
        <v>366</v>
      </c>
      <c r="E6008" s="123" t="s">
        <v>367</v>
      </c>
      <c r="F6008" s="123" t="s">
        <v>368</v>
      </c>
      <c r="G6008" s="124">
        <v>1</v>
      </c>
      <c r="H6008" s="125">
        <f>VLOOKUP(D6008,Upah,8,FALSE)</f>
        <v>125000</v>
      </c>
      <c r="I6008" s="126">
        <f>G6008*H6008</f>
        <v>125000</v>
      </c>
    </row>
    <row r="6009" spans="2:10" ht="15.95" customHeight="1" x14ac:dyDescent="0.25">
      <c r="C6009" s="122"/>
      <c r="D6009" s="117" t="s">
        <v>611</v>
      </c>
      <c r="E6009" s="123" t="s">
        <v>370</v>
      </c>
      <c r="F6009" s="123" t="s">
        <v>368</v>
      </c>
      <c r="G6009" s="124">
        <v>3</v>
      </c>
      <c r="H6009" s="125">
        <f>VLOOKUP(D6009,Upah,8,FALSE)</f>
        <v>150000</v>
      </c>
      <c r="I6009" s="126">
        <f>G6009*H6009</f>
        <v>450000</v>
      </c>
    </row>
    <row r="6010" spans="2:10" ht="15.95" customHeight="1" x14ac:dyDescent="0.25">
      <c r="C6010" s="122"/>
      <c r="D6010" s="117" t="s">
        <v>429</v>
      </c>
      <c r="E6010" s="123" t="s">
        <v>372</v>
      </c>
      <c r="F6010" s="123" t="s">
        <v>368</v>
      </c>
      <c r="G6010" s="124">
        <v>0.3</v>
      </c>
      <c r="H6010" s="125">
        <f>VLOOKUP(D6010,Upah,8,FALSE)</f>
        <v>165000</v>
      </c>
      <c r="I6010" s="126">
        <f>G6010*H6010</f>
        <v>49500</v>
      </c>
    </row>
    <row r="6011" spans="2:10" ht="15.95" customHeight="1" thickBot="1" x14ac:dyDescent="0.3">
      <c r="C6011" s="122"/>
      <c r="D6011" s="117" t="s">
        <v>373</v>
      </c>
      <c r="E6011" s="123" t="s">
        <v>374</v>
      </c>
      <c r="F6011" s="123" t="s">
        <v>368</v>
      </c>
      <c r="G6011" s="124">
        <v>0.05</v>
      </c>
      <c r="H6011" s="125">
        <f>VLOOKUP(D6011,Upah,8,FALSE)</f>
        <v>170000</v>
      </c>
      <c r="I6011" s="126">
        <f>G6011*H6011</f>
        <v>8500</v>
      </c>
    </row>
    <row r="6012" spans="2:10" ht="15.95" customHeight="1" thickBot="1" x14ac:dyDescent="0.3">
      <c r="C6012" s="132"/>
      <c r="D6012" s="133"/>
      <c r="E6012" s="134"/>
      <c r="F6012" s="134"/>
      <c r="G6012" s="135" t="s">
        <v>375</v>
      </c>
      <c r="H6012" s="136"/>
      <c r="I6012" s="137">
        <f>SUM(I6008:I6011)</f>
        <v>633000</v>
      </c>
    </row>
    <row r="6013" spans="2:10" ht="15.95" customHeight="1" x14ac:dyDescent="0.25">
      <c r="C6013" s="116" t="s">
        <v>376</v>
      </c>
      <c r="D6013" s="117" t="s">
        <v>377</v>
      </c>
      <c r="E6013" s="118"/>
      <c r="F6013" s="118"/>
      <c r="G6013" s="165"/>
      <c r="H6013" s="144"/>
      <c r="I6013" s="126"/>
    </row>
    <row r="6014" spans="2:10" ht="15.95" customHeight="1" x14ac:dyDescent="0.25">
      <c r="C6014" s="122"/>
      <c r="D6014" s="117" t="s">
        <v>1315</v>
      </c>
      <c r="E6014" s="118"/>
      <c r="F6014" s="123" t="s">
        <v>158</v>
      </c>
      <c r="G6014" s="124">
        <v>0.04</v>
      </c>
      <c r="H6014" s="144">
        <f>VLOOKUP(D6014,Bahan,6,FALSE)</f>
        <v>4500000</v>
      </c>
      <c r="I6014" s="126">
        <f>G6014*H6014</f>
        <v>180000</v>
      </c>
    </row>
    <row r="6015" spans="2:10" ht="15.95" customHeight="1" thickBot="1" x14ac:dyDescent="0.3">
      <c r="C6015" s="122"/>
      <c r="D6015" s="117" t="s">
        <v>1082</v>
      </c>
      <c r="E6015" s="118"/>
      <c r="F6015" s="123" t="s">
        <v>159</v>
      </c>
      <c r="G6015" s="124">
        <v>0.5</v>
      </c>
      <c r="H6015" s="144">
        <f>VLOOKUP(D6015,Bahan,6,FALSE)</f>
        <v>15210</v>
      </c>
      <c r="I6015" s="126">
        <f>G6015*H6015</f>
        <v>7605</v>
      </c>
    </row>
    <row r="6016" spans="2:10" ht="15.95" customHeight="1" thickBot="1" x14ac:dyDescent="0.3">
      <c r="C6016" s="132"/>
      <c r="D6016" s="133"/>
      <c r="E6016" s="134"/>
      <c r="F6016" s="134"/>
      <c r="G6016" s="135" t="s">
        <v>386</v>
      </c>
      <c r="H6016" s="136"/>
      <c r="I6016" s="137">
        <f>SUM(I6014:I6015)</f>
        <v>187605</v>
      </c>
    </row>
    <row r="6017" spans="2:10" ht="15.95" customHeight="1" thickBot="1" x14ac:dyDescent="0.3">
      <c r="C6017" s="116" t="s">
        <v>387</v>
      </c>
      <c r="D6017" s="117" t="s">
        <v>388</v>
      </c>
      <c r="E6017" s="118"/>
      <c r="F6017" s="118"/>
      <c r="G6017" s="165"/>
      <c r="H6017" s="144">
        <f>IF(AND(D6017&lt;&gt;"",F6017&lt;&gt;""),IF(C6017="",IF(F6017="OH",VLOOKUP(D6017,[1]UPAH!$B$3:$G$32,7,0),VLOOKUP(D6017,[1]BAHAN!$A$2:$D$3,4,0)),0),0)</f>
        <v>0</v>
      </c>
      <c r="I6017" s="126">
        <f>G6017*H6017</f>
        <v>0</v>
      </c>
    </row>
    <row r="6018" spans="2:10" ht="15.95" customHeight="1" thickBot="1" x14ac:dyDescent="0.3">
      <c r="C6018" s="132"/>
      <c r="D6018" s="133"/>
      <c r="E6018" s="134"/>
      <c r="F6018" s="134"/>
      <c r="G6018" s="135" t="s">
        <v>389</v>
      </c>
      <c r="H6018" s="136"/>
      <c r="I6018" s="137">
        <f>I6017</f>
        <v>0</v>
      </c>
    </row>
    <row r="6019" spans="2:10" ht="15.95" customHeight="1" x14ac:dyDescent="0.25">
      <c r="C6019" s="158" t="s">
        <v>390</v>
      </c>
      <c r="D6019" s="159" t="s">
        <v>391</v>
      </c>
      <c r="E6019" s="160"/>
      <c r="F6019" s="160"/>
      <c r="G6019" s="161"/>
      <c r="H6019" s="162">
        <f>IF(AND(D6019&lt;&gt;"",F6019&lt;&gt;""),IF(C6019="",IF(F6019="OH",VLOOKUP(D6019,[1]UPAH!$B$3:$G$32,7,0),VLOOKUP(D6019,[1]BAHAN!$A$2:$D$3,4,0)),0),0)</f>
        <v>0</v>
      </c>
      <c r="I6019" s="126">
        <f>SUM(I6008:I6018)/2</f>
        <v>820605</v>
      </c>
    </row>
    <row r="6020" spans="2:10" ht="15.95" customHeight="1" thickBot="1" x14ac:dyDescent="0.3">
      <c r="C6020" s="147" t="s">
        <v>392</v>
      </c>
      <c r="D6020" s="148" t="s">
        <v>393</v>
      </c>
      <c r="E6020" s="149"/>
      <c r="F6020" s="149"/>
      <c r="G6020" s="164">
        <v>0.1</v>
      </c>
      <c r="H6020" s="151"/>
      <c r="I6020" s="146">
        <f>G6020*I6019</f>
        <v>82060.5</v>
      </c>
    </row>
    <row r="6021" spans="2:10" ht="15.95" customHeight="1" thickBot="1" x14ac:dyDescent="0.3">
      <c r="C6021" s="111" t="s">
        <v>394</v>
      </c>
      <c r="D6021" s="112" t="s">
        <v>395</v>
      </c>
      <c r="E6021" s="134"/>
      <c r="F6021" s="134"/>
      <c r="G6021" s="156"/>
      <c r="H6021" s="136">
        <f>IF(AND(D6021&lt;&gt;"",F6021&lt;&gt;""),IF(C6021="",IF(F6021="OH",VLOOKUP(D6021,[1]UPAH!$B$3:$G$32,7,0),VLOOKUP(D6021,[1]BAHAN!$A$2:$D$3,4,0)),0),0)</f>
        <v>0</v>
      </c>
      <c r="I6021" s="137">
        <f>ROUNDDOWN(I6019+I6020,0)</f>
        <v>902665</v>
      </c>
    </row>
    <row r="6022" spans="2:10" ht="15.95" customHeight="1" x14ac:dyDescent="0.25">
      <c r="C6022" s="109"/>
      <c r="D6022" s="109"/>
      <c r="G6022" s="157"/>
    </row>
    <row r="6023" spans="2:10" ht="15.95" customHeight="1" thickBot="1" x14ac:dyDescent="0.3">
      <c r="B6023" s="247" t="s">
        <v>1320</v>
      </c>
      <c r="C6023" s="104" t="s">
        <v>1321</v>
      </c>
      <c r="G6023" s="157"/>
      <c r="J6023" s="110">
        <f>I6039</f>
        <v>680859</v>
      </c>
    </row>
    <row r="6024" spans="2:10" ht="15.95" customHeight="1" thickBot="1" x14ac:dyDescent="0.3">
      <c r="C6024" s="111" t="s">
        <v>328</v>
      </c>
      <c r="D6024" s="112" t="s">
        <v>359</v>
      </c>
      <c r="E6024" s="113" t="s">
        <v>360</v>
      </c>
      <c r="F6024" s="113" t="s">
        <v>330</v>
      </c>
      <c r="G6024" s="114" t="s">
        <v>361</v>
      </c>
      <c r="H6024" s="112" t="s">
        <v>362</v>
      </c>
      <c r="I6024" s="115" t="s">
        <v>363</v>
      </c>
    </row>
    <row r="6025" spans="2:10" ht="15.95" customHeight="1" x14ac:dyDescent="0.25">
      <c r="C6025" s="116" t="s">
        <v>364</v>
      </c>
      <c r="D6025" s="117" t="s">
        <v>365</v>
      </c>
      <c r="E6025" s="118"/>
      <c r="F6025" s="118"/>
      <c r="G6025" s="165"/>
      <c r="H6025" s="144"/>
      <c r="I6025" s="126"/>
    </row>
    <row r="6026" spans="2:10" ht="15.95" customHeight="1" x14ac:dyDescent="0.25">
      <c r="C6026" s="122"/>
      <c r="D6026" s="117" t="s">
        <v>366</v>
      </c>
      <c r="E6026" s="123" t="s">
        <v>367</v>
      </c>
      <c r="F6026" s="123" t="s">
        <v>368</v>
      </c>
      <c r="G6026" s="124">
        <v>0.8</v>
      </c>
      <c r="H6026" s="125">
        <f>VLOOKUP(D6026,Upah,8,FALSE)</f>
        <v>125000</v>
      </c>
      <c r="I6026" s="126">
        <f>G6026*H6026</f>
        <v>100000</v>
      </c>
    </row>
    <row r="6027" spans="2:10" ht="15.95" customHeight="1" x14ac:dyDescent="0.25">
      <c r="C6027" s="122"/>
      <c r="D6027" s="117" t="s">
        <v>611</v>
      </c>
      <c r="E6027" s="123" t="s">
        <v>370</v>
      </c>
      <c r="F6027" s="123" t="s">
        <v>368</v>
      </c>
      <c r="G6027" s="124">
        <v>2.4</v>
      </c>
      <c r="H6027" s="125">
        <f>VLOOKUP(D6027,Upah,8,FALSE)</f>
        <v>150000</v>
      </c>
      <c r="I6027" s="126">
        <f>G6027*H6027</f>
        <v>360000</v>
      </c>
    </row>
    <row r="6028" spans="2:10" ht="15.95" customHeight="1" x14ac:dyDescent="0.25">
      <c r="C6028" s="122"/>
      <c r="D6028" s="117" t="s">
        <v>429</v>
      </c>
      <c r="E6028" s="123" t="s">
        <v>372</v>
      </c>
      <c r="F6028" s="123" t="s">
        <v>368</v>
      </c>
      <c r="G6028" s="124">
        <v>0.24</v>
      </c>
      <c r="H6028" s="125">
        <f>VLOOKUP(D6028,Upah,8,FALSE)</f>
        <v>165000</v>
      </c>
      <c r="I6028" s="126">
        <f>G6028*H6028</f>
        <v>39600</v>
      </c>
    </row>
    <row r="6029" spans="2:10" ht="15.95" customHeight="1" thickBot="1" x14ac:dyDescent="0.3">
      <c r="C6029" s="122"/>
      <c r="D6029" s="117" t="s">
        <v>373</v>
      </c>
      <c r="E6029" s="123" t="s">
        <v>374</v>
      </c>
      <c r="F6029" s="123" t="s">
        <v>368</v>
      </c>
      <c r="G6029" s="124">
        <v>0.04</v>
      </c>
      <c r="H6029" s="125">
        <f>VLOOKUP(D6029,Upah,8,FALSE)</f>
        <v>170000</v>
      </c>
      <c r="I6029" s="126">
        <f>G6029*H6029</f>
        <v>6800</v>
      </c>
    </row>
    <row r="6030" spans="2:10" ht="15.95" customHeight="1" thickBot="1" x14ac:dyDescent="0.3">
      <c r="C6030" s="132"/>
      <c r="D6030" s="133"/>
      <c r="E6030" s="134"/>
      <c r="F6030" s="134"/>
      <c r="G6030" s="135" t="s">
        <v>375</v>
      </c>
      <c r="H6030" s="136"/>
      <c r="I6030" s="137">
        <f>SUM(I6026:I6029)</f>
        <v>506400</v>
      </c>
    </row>
    <row r="6031" spans="2:10" ht="15.95" customHeight="1" x14ac:dyDescent="0.25">
      <c r="C6031" s="116" t="s">
        <v>376</v>
      </c>
      <c r="D6031" s="117" t="s">
        <v>377</v>
      </c>
      <c r="E6031" s="118"/>
      <c r="F6031" s="118"/>
      <c r="G6031" s="165"/>
      <c r="H6031" s="144"/>
      <c r="I6031" s="126"/>
    </row>
    <row r="6032" spans="2:10" ht="15.95" customHeight="1" x14ac:dyDescent="0.25">
      <c r="C6032" s="122"/>
      <c r="D6032" s="117" t="s">
        <v>1315</v>
      </c>
      <c r="E6032" s="118"/>
      <c r="F6032" s="123" t="s">
        <v>158</v>
      </c>
      <c r="G6032" s="124">
        <v>2.4E-2</v>
      </c>
      <c r="H6032" s="144">
        <f>VLOOKUP(D6032,Bahan,6,FALSE)</f>
        <v>4500000</v>
      </c>
      <c r="I6032" s="126">
        <f>G6032*H6032</f>
        <v>108000</v>
      </c>
    </row>
    <row r="6033" spans="2:10" ht="15.95" customHeight="1" thickBot="1" x14ac:dyDescent="0.3">
      <c r="C6033" s="122"/>
      <c r="D6033" s="117" t="s">
        <v>1082</v>
      </c>
      <c r="E6033" s="118"/>
      <c r="F6033" s="123" t="s">
        <v>159</v>
      </c>
      <c r="G6033" s="124">
        <v>0.3</v>
      </c>
      <c r="H6033" s="144">
        <f>VLOOKUP(D6033,Bahan,6,FALSE)</f>
        <v>15210</v>
      </c>
      <c r="I6033" s="126">
        <f>G6033*H6033</f>
        <v>4563</v>
      </c>
    </row>
    <row r="6034" spans="2:10" ht="15.95" customHeight="1" thickBot="1" x14ac:dyDescent="0.3">
      <c r="C6034" s="132"/>
      <c r="D6034" s="133"/>
      <c r="E6034" s="134"/>
      <c r="F6034" s="134"/>
      <c r="G6034" s="135" t="s">
        <v>386</v>
      </c>
      <c r="H6034" s="136"/>
      <c r="I6034" s="137">
        <f>SUM(I6032:I6033)</f>
        <v>112563</v>
      </c>
    </row>
    <row r="6035" spans="2:10" ht="15.95" customHeight="1" thickBot="1" x14ac:dyDescent="0.3">
      <c r="C6035" s="116" t="s">
        <v>387</v>
      </c>
      <c r="D6035" s="117" t="s">
        <v>388</v>
      </c>
      <c r="E6035" s="118"/>
      <c r="F6035" s="118"/>
      <c r="G6035" s="165"/>
      <c r="H6035" s="144">
        <f>IF(AND(D6035&lt;&gt;"",F6035&lt;&gt;""),IF(C6035="",IF(F6035="OH",VLOOKUP(D6035,[1]UPAH!$B$3:$G$32,7,0),VLOOKUP(D6035,[1]BAHAN!$A$2:$D$3,4,0)),0),0)</f>
        <v>0</v>
      </c>
      <c r="I6035" s="126">
        <f>G6035*H6035</f>
        <v>0</v>
      </c>
    </row>
    <row r="6036" spans="2:10" ht="15.95" customHeight="1" thickBot="1" x14ac:dyDescent="0.3">
      <c r="C6036" s="132"/>
      <c r="D6036" s="133"/>
      <c r="E6036" s="134"/>
      <c r="F6036" s="134"/>
      <c r="G6036" s="135" t="s">
        <v>389</v>
      </c>
      <c r="H6036" s="136"/>
      <c r="I6036" s="137">
        <f>I6035</f>
        <v>0</v>
      </c>
    </row>
    <row r="6037" spans="2:10" ht="15.95" customHeight="1" x14ac:dyDescent="0.25">
      <c r="C6037" s="158" t="s">
        <v>390</v>
      </c>
      <c r="D6037" s="159" t="s">
        <v>391</v>
      </c>
      <c r="E6037" s="160"/>
      <c r="F6037" s="160"/>
      <c r="G6037" s="161"/>
      <c r="H6037" s="162">
        <f>IF(AND(D6037&lt;&gt;"",F6037&lt;&gt;""),IF(C6037="",IF(F6037="OH",VLOOKUP(D6037,[1]UPAH!$B$3:$G$32,7,0),VLOOKUP(D6037,[1]BAHAN!$A$2:$D$3,4,0)),0),0)</f>
        <v>0</v>
      </c>
      <c r="I6037" s="126">
        <f>SUM(I6026:I6036)/2</f>
        <v>618963</v>
      </c>
    </row>
    <row r="6038" spans="2:10" ht="15.95" customHeight="1" thickBot="1" x14ac:dyDescent="0.3">
      <c r="C6038" s="147" t="s">
        <v>392</v>
      </c>
      <c r="D6038" s="148" t="s">
        <v>393</v>
      </c>
      <c r="E6038" s="149"/>
      <c r="F6038" s="149"/>
      <c r="G6038" s="164">
        <v>0.1</v>
      </c>
      <c r="H6038" s="151"/>
      <c r="I6038" s="146">
        <f>G6038*I6037</f>
        <v>61896.3</v>
      </c>
    </row>
    <row r="6039" spans="2:10" ht="15.95" customHeight="1" thickBot="1" x14ac:dyDescent="0.3">
      <c r="C6039" s="111" t="s">
        <v>394</v>
      </c>
      <c r="D6039" s="112" t="s">
        <v>395</v>
      </c>
      <c r="E6039" s="134"/>
      <c r="F6039" s="134"/>
      <c r="G6039" s="156"/>
      <c r="H6039" s="136">
        <f>IF(AND(D6039&lt;&gt;"",F6039&lt;&gt;""),IF(C6039="",IF(F6039="OH",VLOOKUP(D6039,[1]UPAH!$B$3:$G$32,7,0),VLOOKUP(D6039,[1]BAHAN!$A$2:$D$3,4,0)),0),0)</f>
        <v>0</v>
      </c>
      <c r="I6039" s="137">
        <f>ROUNDDOWN(I6037+I6038,0)</f>
        <v>680859</v>
      </c>
    </row>
    <row r="6040" spans="2:10" ht="15.95" customHeight="1" x14ac:dyDescent="0.25">
      <c r="C6040" s="109"/>
      <c r="D6040" s="109"/>
      <c r="G6040" s="157"/>
    </row>
    <row r="6041" spans="2:10" ht="15.95" customHeight="1" thickBot="1" x14ac:dyDescent="0.3">
      <c r="B6041" s="109" t="s">
        <v>1322</v>
      </c>
      <c r="C6041" s="104" t="s">
        <v>1323</v>
      </c>
      <c r="G6041" s="157"/>
      <c r="J6041" s="110">
        <f>I6057</f>
        <v>1021465</v>
      </c>
    </row>
    <row r="6042" spans="2:10" ht="15.95" customHeight="1" thickBot="1" x14ac:dyDescent="0.3">
      <c r="C6042" s="111" t="s">
        <v>328</v>
      </c>
      <c r="D6042" s="112" t="s">
        <v>359</v>
      </c>
      <c r="E6042" s="113" t="s">
        <v>360</v>
      </c>
      <c r="F6042" s="113" t="s">
        <v>330</v>
      </c>
      <c r="G6042" s="114" t="s">
        <v>361</v>
      </c>
      <c r="H6042" s="112" t="s">
        <v>362</v>
      </c>
      <c r="I6042" s="115" t="s">
        <v>363</v>
      </c>
    </row>
    <row r="6043" spans="2:10" ht="15.95" customHeight="1" x14ac:dyDescent="0.25">
      <c r="C6043" s="116" t="s">
        <v>364</v>
      </c>
      <c r="D6043" s="117" t="s">
        <v>365</v>
      </c>
      <c r="E6043" s="118"/>
      <c r="F6043" s="118"/>
      <c r="G6043" s="165"/>
      <c r="H6043" s="144"/>
      <c r="I6043" s="126"/>
    </row>
    <row r="6044" spans="2:10" ht="15.95" customHeight="1" x14ac:dyDescent="0.25">
      <c r="C6044" s="122"/>
      <c r="D6044" s="117" t="s">
        <v>366</v>
      </c>
      <c r="E6044" s="123" t="s">
        <v>367</v>
      </c>
      <c r="F6044" s="123" t="s">
        <v>368</v>
      </c>
      <c r="G6044" s="124">
        <v>1</v>
      </c>
      <c r="H6044" s="125">
        <f>VLOOKUP(D6044,Upah,8,FALSE)</f>
        <v>125000</v>
      </c>
      <c r="I6044" s="126">
        <f>G6044*H6044</f>
        <v>125000</v>
      </c>
    </row>
    <row r="6045" spans="2:10" ht="15.95" customHeight="1" x14ac:dyDescent="0.25">
      <c r="C6045" s="122"/>
      <c r="D6045" s="117" t="s">
        <v>611</v>
      </c>
      <c r="E6045" s="123" t="s">
        <v>370</v>
      </c>
      <c r="F6045" s="123" t="s">
        <v>368</v>
      </c>
      <c r="G6045" s="124">
        <v>3</v>
      </c>
      <c r="H6045" s="125">
        <f>VLOOKUP(D6045,Upah,8,FALSE)</f>
        <v>150000</v>
      </c>
      <c r="I6045" s="126">
        <f>G6045*H6045</f>
        <v>450000</v>
      </c>
    </row>
    <row r="6046" spans="2:10" ht="15.95" customHeight="1" x14ac:dyDescent="0.25">
      <c r="C6046" s="122"/>
      <c r="D6046" s="117" t="s">
        <v>429</v>
      </c>
      <c r="E6046" s="123" t="s">
        <v>372</v>
      </c>
      <c r="F6046" s="123" t="s">
        <v>368</v>
      </c>
      <c r="G6046" s="124">
        <v>0.3</v>
      </c>
      <c r="H6046" s="125">
        <f>VLOOKUP(D6046,Upah,8,FALSE)</f>
        <v>165000</v>
      </c>
      <c r="I6046" s="126">
        <f>G6046*H6046</f>
        <v>49500</v>
      </c>
    </row>
    <row r="6047" spans="2:10" ht="15.95" customHeight="1" thickBot="1" x14ac:dyDescent="0.3">
      <c r="C6047" s="122"/>
      <c r="D6047" s="117" t="s">
        <v>373</v>
      </c>
      <c r="E6047" s="123" t="s">
        <v>374</v>
      </c>
      <c r="F6047" s="123" t="s">
        <v>368</v>
      </c>
      <c r="G6047" s="124">
        <v>0.05</v>
      </c>
      <c r="H6047" s="125">
        <f>VLOOKUP(D6047,Upah,8,FALSE)</f>
        <v>170000</v>
      </c>
      <c r="I6047" s="126">
        <f>G6047*H6047</f>
        <v>8500</v>
      </c>
    </row>
    <row r="6048" spans="2:10" ht="15.95" customHeight="1" thickBot="1" x14ac:dyDescent="0.3">
      <c r="C6048" s="132"/>
      <c r="D6048" s="133"/>
      <c r="E6048" s="134"/>
      <c r="F6048" s="134"/>
      <c r="G6048" s="135" t="s">
        <v>375</v>
      </c>
      <c r="H6048" s="136"/>
      <c r="I6048" s="137">
        <f>SUM(I6044:I6047)</f>
        <v>633000</v>
      </c>
    </row>
    <row r="6049" spans="2:10" ht="15.95" customHeight="1" x14ac:dyDescent="0.25">
      <c r="C6049" s="116" t="s">
        <v>376</v>
      </c>
      <c r="D6049" s="117" t="s">
        <v>377</v>
      </c>
      <c r="E6049" s="118"/>
      <c r="F6049" s="118"/>
      <c r="G6049" s="165"/>
      <c r="H6049" s="144"/>
      <c r="I6049" s="126"/>
    </row>
    <row r="6050" spans="2:10" ht="15.95" customHeight="1" x14ac:dyDescent="0.25">
      <c r="C6050" s="122"/>
      <c r="D6050" s="117" t="s">
        <v>1315</v>
      </c>
      <c r="E6050" s="118"/>
      <c r="F6050" s="123" t="s">
        <v>158</v>
      </c>
      <c r="G6050" s="124">
        <v>6.4000000000000001E-2</v>
      </c>
      <c r="H6050" s="144">
        <f>VLOOKUP(D6050,Bahan,6,FALSE)</f>
        <v>4500000</v>
      </c>
      <c r="I6050" s="126">
        <f>G6050*H6050</f>
        <v>288000</v>
      </c>
    </row>
    <row r="6051" spans="2:10" ht="15.95" customHeight="1" thickBot="1" x14ac:dyDescent="0.3">
      <c r="C6051" s="122"/>
      <c r="D6051" s="117" t="s">
        <v>1082</v>
      </c>
      <c r="E6051" s="118"/>
      <c r="F6051" s="123" t="s">
        <v>159</v>
      </c>
      <c r="G6051" s="124">
        <v>0.5</v>
      </c>
      <c r="H6051" s="144">
        <f>VLOOKUP(D6051,Bahan,6,FALSE)</f>
        <v>15210</v>
      </c>
      <c r="I6051" s="126">
        <f>G6051*H6051</f>
        <v>7605</v>
      </c>
    </row>
    <row r="6052" spans="2:10" ht="15.95" customHeight="1" thickBot="1" x14ac:dyDescent="0.3">
      <c r="C6052" s="132"/>
      <c r="D6052" s="133"/>
      <c r="E6052" s="134"/>
      <c r="F6052" s="134"/>
      <c r="G6052" s="135" t="s">
        <v>386</v>
      </c>
      <c r="H6052" s="136"/>
      <c r="I6052" s="137">
        <f>SUM(I6050:I6051)</f>
        <v>295605</v>
      </c>
    </row>
    <row r="6053" spans="2:10" ht="15.95" customHeight="1" thickBot="1" x14ac:dyDescent="0.3">
      <c r="C6053" s="116" t="s">
        <v>387</v>
      </c>
      <c r="D6053" s="117" t="s">
        <v>388</v>
      </c>
      <c r="E6053" s="118"/>
      <c r="F6053" s="118"/>
      <c r="G6053" s="165"/>
      <c r="H6053" s="144">
        <f>IF(AND(D6053&lt;&gt;"",F6053&lt;&gt;""),IF(C6053="",IF(F6053="OH",VLOOKUP(D6053,[1]UPAH!$B$3:$G$32,7,0),VLOOKUP(D6053,[1]BAHAN!$A$2:$D$3,4,0)),0),0)</f>
        <v>0</v>
      </c>
      <c r="I6053" s="126">
        <f>G6053*H6053</f>
        <v>0</v>
      </c>
    </row>
    <row r="6054" spans="2:10" ht="15.95" customHeight="1" thickBot="1" x14ac:dyDescent="0.3">
      <c r="C6054" s="132"/>
      <c r="D6054" s="133"/>
      <c r="E6054" s="134"/>
      <c r="F6054" s="134"/>
      <c r="G6054" s="135" t="s">
        <v>389</v>
      </c>
      <c r="H6054" s="136"/>
      <c r="I6054" s="137">
        <f>I6053</f>
        <v>0</v>
      </c>
    </row>
    <row r="6055" spans="2:10" ht="15.95" customHeight="1" x14ac:dyDescent="0.25">
      <c r="C6055" s="158" t="s">
        <v>390</v>
      </c>
      <c r="D6055" s="159" t="s">
        <v>391</v>
      </c>
      <c r="E6055" s="160"/>
      <c r="F6055" s="160"/>
      <c r="G6055" s="161"/>
      <c r="H6055" s="162">
        <f>IF(AND(D6055&lt;&gt;"",F6055&lt;&gt;""),IF(C6055="",IF(F6055="OH",VLOOKUP(D6055,[1]UPAH!$B$3:$G$32,7,0),VLOOKUP(D6055,[1]BAHAN!$A$2:$D$3,4,0)),0),0)</f>
        <v>0</v>
      </c>
      <c r="I6055" s="126">
        <f>SUM(I6044:I6054)/2</f>
        <v>928605</v>
      </c>
    </row>
    <row r="6056" spans="2:10" ht="15.95" customHeight="1" thickBot="1" x14ac:dyDescent="0.3">
      <c r="C6056" s="147" t="s">
        <v>392</v>
      </c>
      <c r="D6056" s="148" t="s">
        <v>393</v>
      </c>
      <c r="E6056" s="149"/>
      <c r="F6056" s="149"/>
      <c r="G6056" s="164">
        <v>0.1</v>
      </c>
      <c r="H6056" s="151"/>
      <c r="I6056" s="146">
        <f>G6056*I6055</f>
        <v>92860.5</v>
      </c>
    </row>
    <row r="6057" spans="2:10" ht="15.95" customHeight="1" thickBot="1" x14ac:dyDescent="0.3">
      <c r="C6057" s="111" t="s">
        <v>394</v>
      </c>
      <c r="D6057" s="112" t="s">
        <v>395</v>
      </c>
      <c r="E6057" s="134"/>
      <c r="F6057" s="134"/>
      <c r="G6057" s="156"/>
      <c r="H6057" s="136">
        <f>IF(AND(D6057&lt;&gt;"",F6057&lt;&gt;""),IF(C6057="",IF(F6057="OH",VLOOKUP(D6057,[1]UPAH!$B$3:$G$32,7,0),VLOOKUP(D6057,[1]BAHAN!$A$2:$D$3,4,0)),0),0)</f>
        <v>0</v>
      </c>
      <c r="I6057" s="137">
        <f>ROUNDDOWN(I6055+I6056,0)</f>
        <v>1021465</v>
      </c>
    </row>
    <row r="6058" spans="2:10" ht="15.95" customHeight="1" x14ac:dyDescent="0.25">
      <c r="C6058" s="109"/>
      <c r="D6058" s="109"/>
      <c r="G6058" s="157"/>
    </row>
    <row r="6059" spans="2:10" ht="15.95" customHeight="1" thickBot="1" x14ac:dyDescent="0.3">
      <c r="B6059" s="109" t="s">
        <v>1324</v>
      </c>
      <c r="C6059" s="104" t="s">
        <v>1325</v>
      </c>
      <c r="G6059" s="157"/>
      <c r="J6059" s="110">
        <f>I6077</f>
        <v>706248</v>
      </c>
    </row>
    <row r="6060" spans="2:10" ht="15.95" customHeight="1" thickBot="1" x14ac:dyDescent="0.3">
      <c r="C6060" s="111" t="s">
        <v>328</v>
      </c>
      <c r="D6060" s="112" t="s">
        <v>359</v>
      </c>
      <c r="E6060" s="113" t="s">
        <v>360</v>
      </c>
      <c r="F6060" s="113" t="s">
        <v>330</v>
      </c>
      <c r="G6060" s="114" t="s">
        <v>361</v>
      </c>
      <c r="H6060" s="112" t="s">
        <v>362</v>
      </c>
      <c r="I6060" s="115" t="s">
        <v>363</v>
      </c>
    </row>
    <row r="6061" spans="2:10" ht="15.95" customHeight="1" x14ac:dyDescent="0.25">
      <c r="C6061" s="116" t="s">
        <v>364</v>
      </c>
      <c r="D6061" s="117" t="s">
        <v>365</v>
      </c>
      <c r="E6061" s="118"/>
      <c r="F6061" s="118"/>
      <c r="G6061" s="165"/>
      <c r="H6061" s="144"/>
      <c r="I6061" s="126"/>
    </row>
    <row r="6062" spans="2:10" ht="15.95" customHeight="1" x14ac:dyDescent="0.25">
      <c r="C6062" s="122"/>
      <c r="D6062" s="117" t="s">
        <v>366</v>
      </c>
      <c r="E6062" s="123" t="s">
        <v>367</v>
      </c>
      <c r="F6062" s="123" t="s">
        <v>368</v>
      </c>
      <c r="G6062" s="124">
        <v>0.7</v>
      </c>
      <c r="H6062" s="125">
        <f>VLOOKUP(D6062,Upah,8,FALSE)</f>
        <v>125000</v>
      </c>
      <c r="I6062" s="126">
        <f>G6062*H6062</f>
        <v>87500</v>
      </c>
    </row>
    <row r="6063" spans="2:10" ht="15.95" customHeight="1" x14ac:dyDescent="0.25">
      <c r="C6063" s="122"/>
      <c r="D6063" s="117" t="s">
        <v>611</v>
      </c>
      <c r="E6063" s="123" t="s">
        <v>370</v>
      </c>
      <c r="F6063" s="123" t="s">
        <v>368</v>
      </c>
      <c r="G6063" s="124">
        <v>2.1</v>
      </c>
      <c r="H6063" s="125">
        <f>VLOOKUP(D6063,Upah,8,FALSE)</f>
        <v>150000</v>
      </c>
      <c r="I6063" s="126">
        <f>G6063*H6063</f>
        <v>315000</v>
      </c>
    </row>
    <row r="6064" spans="2:10" ht="15.95" customHeight="1" x14ac:dyDescent="0.25">
      <c r="C6064" s="122"/>
      <c r="D6064" s="117" t="s">
        <v>429</v>
      </c>
      <c r="E6064" s="123" t="s">
        <v>372</v>
      </c>
      <c r="F6064" s="123" t="s">
        <v>368</v>
      </c>
      <c r="G6064" s="124">
        <v>0.21</v>
      </c>
      <c r="H6064" s="125">
        <f>VLOOKUP(D6064,Upah,8,FALSE)</f>
        <v>165000</v>
      </c>
      <c r="I6064" s="126">
        <f>G6064*H6064</f>
        <v>34650</v>
      </c>
    </row>
    <row r="6065" spans="2:10" ht="15.95" customHeight="1" thickBot="1" x14ac:dyDescent="0.3">
      <c r="C6065" s="122"/>
      <c r="D6065" s="117" t="s">
        <v>373</v>
      </c>
      <c r="E6065" s="123" t="s">
        <v>374</v>
      </c>
      <c r="F6065" s="123" t="s">
        <v>368</v>
      </c>
      <c r="G6065" s="124">
        <v>3.5000000000000003E-2</v>
      </c>
      <c r="H6065" s="125">
        <f>VLOOKUP(D6065,Upah,8,FALSE)</f>
        <v>170000</v>
      </c>
      <c r="I6065" s="126">
        <f>G6065*H6065</f>
        <v>5950.0000000000009</v>
      </c>
    </row>
    <row r="6066" spans="2:10" ht="15.95" customHeight="1" thickBot="1" x14ac:dyDescent="0.3">
      <c r="C6066" s="132"/>
      <c r="D6066" s="133"/>
      <c r="E6066" s="134"/>
      <c r="F6066" s="134"/>
      <c r="G6066" s="135" t="s">
        <v>375</v>
      </c>
      <c r="H6066" s="136"/>
      <c r="I6066" s="137">
        <f>SUM(I6062:I6065)</f>
        <v>443100</v>
      </c>
    </row>
    <row r="6067" spans="2:10" ht="15.95" customHeight="1" x14ac:dyDescent="0.25">
      <c r="C6067" s="116" t="s">
        <v>376</v>
      </c>
      <c r="D6067" s="117" t="s">
        <v>377</v>
      </c>
      <c r="E6067" s="118"/>
      <c r="F6067" s="118"/>
      <c r="G6067" s="165"/>
      <c r="H6067" s="144"/>
      <c r="I6067" s="126"/>
    </row>
    <row r="6068" spans="2:10" ht="15.95" customHeight="1" x14ac:dyDescent="0.25">
      <c r="C6068" s="122"/>
      <c r="D6068" s="117" t="s">
        <v>1315</v>
      </c>
      <c r="E6068" s="118"/>
      <c r="F6068" s="123" t="s">
        <v>158</v>
      </c>
      <c r="G6068" s="124">
        <v>2.5000000000000001E-2</v>
      </c>
      <c r="H6068" s="144">
        <f>VLOOKUP(D6068,Bahan,6,FALSE)</f>
        <v>4500000</v>
      </c>
      <c r="I6068" s="126">
        <f>G6068*H6068</f>
        <v>112500</v>
      </c>
    </row>
    <row r="6069" spans="2:10" ht="15.95" customHeight="1" x14ac:dyDescent="0.25">
      <c r="C6069" s="122"/>
      <c r="D6069" s="117" t="s">
        <v>613</v>
      </c>
      <c r="E6069" s="118"/>
      <c r="F6069" s="123" t="s">
        <v>133</v>
      </c>
      <c r="G6069" s="124">
        <v>0.03</v>
      </c>
      <c r="H6069" s="144">
        <f>VLOOKUP(D6069,Bahan,6,FALSE)</f>
        <v>27970</v>
      </c>
      <c r="I6069" s="126">
        <f>G6069*H6069</f>
        <v>839.1</v>
      </c>
    </row>
    <row r="6070" spans="2:10" ht="15.95" customHeight="1" x14ac:dyDescent="0.25">
      <c r="C6070" s="122"/>
      <c r="D6070" s="117" t="s">
        <v>1082</v>
      </c>
      <c r="E6070" s="118"/>
      <c r="F6070" s="123" t="s">
        <v>133</v>
      </c>
      <c r="G6070" s="124">
        <v>0.5</v>
      </c>
      <c r="H6070" s="144">
        <f>VLOOKUP(D6070,Bahan,6,FALSE)</f>
        <v>15210</v>
      </c>
      <c r="I6070" s="126">
        <f>G6070*H6070</f>
        <v>7605</v>
      </c>
    </row>
    <row r="6071" spans="2:10" ht="15.95" customHeight="1" thickBot="1" x14ac:dyDescent="0.3">
      <c r="C6071" s="122"/>
      <c r="D6071" s="117" t="s">
        <v>423</v>
      </c>
      <c r="E6071" s="118"/>
      <c r="F6071" s="123" t="s">
        <v>621</v>
      </c>
      <c r="G6071" s="124">
        <v>1</v>
      </c>
      <c r="H6071" s="144">
        <f>VLOOKUP(D6071,Bahan,6,FALSE)</f>
        <v>78000</v>
      </c>
      <c r="I6071" s="126">
        <f>G6071*H6071</f>
        <v>78000</v>
      </c>
    </row>
    <row r="6072" spans="2:10" ht="15.95" customHeight="1" thickBot="1" x14ac:dyDescent="0.3">
      <c r="C6072" s="132"/>
      <c r="D6072" s="133"/>
      <c r="E6072" s="134"/>
      <c r="F6072" s="134"/>
      <c r="G6072" s="135" t="s">
        <v>386</v>
      </c>
      <c r="H6072" s="136"/>
      <c r="I6072" s="137">
        <f>SUM(I6068:I6071)</f>
        <v>198944.1</v>
      </c>
    </row>
    <row r="6073" spans="2:10" ht="15.95" customHeight="1" thickBot="1" x14ac:dyDescent="0.3">
      <c r="C6073" s="116" t="s">
        <v>387</v>
      </c>
      <c r="D6073" s="117" t="s">
        <v>388</v>
      </c>
      <c r="E6073" s="118"/>
      <c r="F6073" s="118"/>
      <c r="G6073" s="165"/>
      <c r="H6073" s="144">
        <f>IF(AND(D6073&lt;&gt;"",F6073&lt;&gt;""),IF(C6073="",IF(F6073="OH",VLOOKUP(D6073,[1]UPAH!$B$3:$G$32,7,0),VLOOKUP(D6073,[1]BAHAN!$A$2:$D$3,4,0)),0),0)</f>
        <v>0</v>
      </c>
      <c r="I6073" s="126">
        <f>G6073*H6073</f>
        <v>0</v>
      </c>
    </row>
    <row r="6074" spans="2:10" ht="15.95" customHeight="1" thickBot="1" x14ac:dyDescent="0.3">
      <c r="C6074" s="132"/>
      <c r="D6074" s="133"/>
      <c r="E6074" s="134"/>
      <c r="F6074" s="134"/>
      <c r="G6074" s="135" t="s">
        <v>389</v>
      </c>
      <c r="H6074" s="136"/>
      <c r="I6074" s="137">
        <f>I6073</f>
        <v>0</v>
      </c>
    </row>
    <row r="6075" spans="2:10" ht="15.95" customHeight="1" x14ac:dyDescent="0.25">
      <c r="C6075" s="158" t="s">
        <v>390</v>
      </c>
      <c r="D6075" s="159" t="s">
        <v>391</v>
      </c>
      <c r="E6075" s="160"/>
      <c r="F6075" s="160"/>
      <c r="G6075" s="161"/>
      <c r="H6075" s="162">
        <f>IF(AND(D6075&lt;&gt;"",F6075&lt;&gt;""),IF(C6075="",IF(F6075="OH",VLOOKUP(D6075,[1]UPAH!$B$3:$G$32,7,0),VLOOKUP(D6075,[1]BAHAN!$A$2:$D$3,4,0)),0),0)</f>
        <v>0</v>
      </c>
      <c r="I6075" s="126">
        <f>SUM(I6062:I6074)/2</f>
        <v>642044.10000000009</v>
      </c>
    </row>
    <row r="6076" spans="2:10" ht="15.95" customHeight="1" thickBot="1" x14ac:dyDescent="0.3">
      <c r="C6076" s="147" t="s">
        <v>392</v>
      </c>
      <c r="D6076" s="148" t="s">
        <v>393</v>
      </c>
      <c r="E6076" s="149"/>
      <c r="F6076" s="149"/>
      <c r="G6076" s="164">
        <v>0.1</v>
      </c>
      <c r="H6076" s="151"/>
      <c r="I6076" s="146">
        <f>G6076*I6075</f>
        <v>64204.410000000011</v>
      </c>
    </row>
    <row r="6077" spans="2:10" ht="15.95" customHeight="1" thickBot="1" x14ac:dyDescent="0.3">
      <c r="C6077" s="111" t="s">
        <v>394</v>
      </c>
      <c r="D6077" s="112" t="s">
        <v>395</v>
      </c>
      <c r="E6077" s="134"/>
      <c r="F6077" s="134"/>
      <c r="G6077" s="156"/>
      <c r="H6077" s="136">
        <f>IF(AND(D6077&lt;&gt;"",F6077&lt;&gt;""),IF(C6077="",IF(F6077="OH",VLOOKUP(D6077,[1]UPAH!$B$3:$G$32,7,0),VLOOKUP(D6077,[1]BAHAN!$A$2:$D$3,4,0)),0),0)</f>
        <v>0</v>
      </c>
      <c r="I6077" s="137">
        <f>ROUNDDOWN(I6075+I6076,0)</f>
        <v>706248</v>
      </c>
    </row>
    <row r="6078" spans="2:10" ht="15.95" customHeight="1" x14ac:dyDescent="0.25">
      <c r="C6078" s="109"/>
      <c r="D6078" s="109"/>
      <c r="G6078" s="157"/>
    </row>
    <row r="6079" spans="2:10" ht="15.95" customHeight="1" thickBot="1" x14ac:dyDescent="0.3">
      <c r="B6079" s="109" t="s">
        <v>1326</v>
      </c>
      <c r="C6079" s="104" t="s">
        <v>1327</v>
      </c>
      <c r="G6079" s="157"/>
      <c r="J6079" s="110">
        <f>I6097</f>
        <v>778848</v>
      </c>
    </row>
    <row r="6080" spans="2:10" ht="15.95" customHeight="1" thickBot="1" x14ac:dyDescent="0.3">
      <c r="C6080" s="111" t="s">
        <v>328</v>
      </c>
      <c r="D6080" s="112" t="s">
        <v>359</v>
      </c>
      <c r="E6080" s="113" t="s">
        <v>360</v>
      </c>
      <c r="F6080" s="113" t="s">
        <v>330</v>
      </c>
      <c r="G6080" s="114" t="s">
        <v>361</v>
      </c>
      <c r="H6080" s="112" t="s">
        <v>362</v>
      </c>
      <c r="I6080" s="115" t="s">
        <v>363</v>
      </c>
    </row>
    <row r="6081" spans="3:9" ht="15.95" customHeight="1" x14ac:dyDescent="0.25">
      <c r="C6081" s="116" t="s">
        <v>364</v>
      </c>
      <c r="D6081" s="117" t="s">
        <v>365</v>
      </c>
      <c r="E6081" s="118"/>
      <c r="F6081" s="118"/>
      <c r="G6081" s="165"/>
      <c r="H6081" s="144"/>
      <c r="I6081" s="126"/>
    </row>
    <row r="6082" spans="3:9" ht="15.95" customHeight="1" x14ac:dyDescent="0.25">
      <c r="C6082" s="122"/>
      <c r="D6082" s="117" t="s">
        <v>366</v>
      </c>
      <c r="E6082" s="123" t="s">
        <v>367</v>
      </c>
      <c r="F6082" s="123" t="s">
        <v>368</v>
      </c>
      <c r="G6082" s="124">
        <v>0.8</v>
      </c>
      <c r="H6082" s="125">
        <f>VLOOKUP(D6082,Upah,8,FALSE)</f>
        <v>125000</v>
      </c>
      <c r="I6082" s="126">
        <f>G6082*H6082</f>
        <v>100000</v>
      </c>
    </row>
    <row r="6083" spans="3:9" ht="15.95" customHeight="1" x14ac:dyDescent="0.25">
      <c r="C6083" s="122"/>
      <c r="D6083" s="117" t="s">
        <v>611</v>
      </c>
      <c r="E6083" s="123" t="s">
        <v>370</v>
      </c>
      <c r="F6083" s="123" t="s">
        <v>368</v>
      </c>
      <c r="G6083" s="124">
        <v>2.4</v>
      </c>
      <c r="H6083" s="125">
        <f>VLOOKUP(D6083,Upah,8,FALSE)</f>
        <v>150000</v>
      </c>
      <c r="I6083" s="126">
        <f>G6083*H6083</f>
        <v>360000</v>
      </c>
    </row>
    <row r="6084" spans="3:9" ht="15.95" customHeight="1" x14ac:dyDescent="0.25">
      <c r="C6084" s="122"/>
      <c r="D6084" s="117" t="s">
        <v>429</v>
      </c>
      <c r="E6084" s="123" t="s">
        <v>372</v>
      </c>
      <c r="F6084" s="123" t="s">
        <v>368</v>
      </c>
      <c r="G6084" s="124">
        <v>0.24</v>
      </c>
      <c r="H6084" s="125">
        <f>VLOOKUP(D6084,Upah,8,FALSE)</f>
        <v>165000</v>
      </c>
      <c r="I6084" s="126">
        <f>G6084*H6084</f>
        <v>39600</v>
      </c>
    </row>
    <row r="6085" spans="3:9" ht="15.95" customHeight="1" thickBot="1" x14ac:dyDescent="0.3">
      <c r="C6085" s="122"/>
      <c r="D6085" s="117" t="s">
        <v>373</v>
      </c>
      <c r="E6085" s="123" t="s">
        <v>374</v>
      </c>
      <c r="F6085" s="123" t="s">
        <v>368</v>
      </c>
      <c r="G6085" s="124">
        <v>0.04</v>
      </c>
      <c r="H6085" s="125">
        <f>VLOOKUP(D6085,Upah,8,FALSE)</f>
        <v>170000</v>
      </c>
      <c r="I6085" s="126">
        <f>G6085*H6085</f>
        <v>6800</v>
      </c>
    </row>
    <row r="6086" spans="3:9" ht="15.95" customHeight="1" thickBot="1" x14ac:dyDescent="0.3">
      <c r="C6086" s="132"/>
      <c r="D6086" s="133"/>
      <c r="E6086" s="134"/>
      <c r="F6086" s="134"/>
      <c r="G6086" s="135" t="s">
        <v>375</v>
      </c>
      <c r="H6086" s="136"/>
      <c r="I6086" s="137">
        <f>SUM(I6082:I6085)</f>
        <v>506400</v>
      </c>
    </row>
    <row r="6087" spans="3:9" ht="15.95" customHeight="1" x14ac:dyDescent="0.25">
      <c r="C6087" s="116" t="s">
        <v>376</v>
      </c>
      <c r="D6087" s="117" t="s">
        <v>377</v>
      </c>
      <c r="E6087" s="118"/>
      <c r="F6087" s="118"/>
      <c r="G6087" s="165"/>
      <c r="H6087" s="144"/>
      <c r="I6087" s="126"/>
    </row>
    <row r="6088" spans="3:9" ht="15.95" customHeight="1" x14ac:dyDescent="0.25">
      <c r="C6088" s="122"/>
      <c r="D6088" s="117" t="s">
        <v>1315</v>
      </c>
      <c r="E6088" s="118"/>
      <c r="F6088" s="123" t="s">
        <v>158</v>
      </c>
      <c r="G6088" s="124">
        <v>2.5600000000000001E-2</v>
      </c>
      <c r="H6088" s="144">
        <f>VLOOKUP(D6088,Bahan,6,FALSE)</f>
        <v>4500000</v>
      </c>
      <c r="I6088" s="126">
        <f>G6088*H6088</f>
        <v>115200</v>
      </c>
    </row>
    <row r="6089" spans="3:9" ht="15.95" customHeight="1" x14ac:dyDescent="0.25">
      <c r="C6089" s="122"/>
      <c r="D6089" s="117" t="s">
        <v>613</v>
      </c>
      <c r="E6089" s="118"/>
      <c r="F6089" s="123" t="s">
        <v>133</v>
      </c>
      <c r="G6089" s="124">
        <v>0.03</v>
      </c>
      <c r="H6089" s="144">
        <f>VLOOKUP(D6089,Bahan,6,FALSE)</f>
        <v>27970</v>
      </c>
      <c r="I6089" s="126">
        <f>G6089*H6089</f>
        <v>839.1</v>
      </c>
    </row>
    <row r="6090" spans="3:9" ht="15.95" customHeight="1" x14ac:dyDescent="0.25">
      <c r="C6090" s="122"/>
      <c r="D6090" s="117" t="s">
        <v>1082</v>
      </c>
      <c r="E6090" s="118"/>
      <c r="F6090" s="123" t="s">
        <v>133</v>
      </c>
      <c r="G6090" s="124">
        <v>0.5</v>
      </c>
      <c r="H6090" s="144">
        <f>VLOOKUP(D6090,Bahan,6,FALSE)</f>
        <v>15210</v>
      </c>
      <c r="I6090" s="126">
        <f>G6090*H6090</f>
        <v>7605</v>
      </c>
    </row>
    <row r="6091" spans="3:9" ht="15.95" customHeight="1" thickBot="1" x14ac:dyDescent="0.3">
      <c r="C6091" s="122"/>
      <c r="D6091" s="117" t="s">
        <v>423</v>
      </c>
      <c r="E6091" s="118"/>
      <c r="F6091" s="123" t="s">
        <v>621</v>
      </c>
      <c r="G6091" s="124">
        <v>1</v>
      </c>
      <c r="H6091" s="144">
        <f>VLOOKUP(D6091,Bahan,6,FALSE)</f>
        <v>78000</v>
      </c>
      <c r="I6091" s="126">
        <f>G6091*H6091</f>
        <v>78000</v>
      </c>
    </row>
    <row r="6092" spans="3:9" ht="15.95" customHeight="1" thickBot="1" x14ac:dyDescent="0.3">
      <c r="C6092" s="132"/>
      <c r="D6092" s="133"/>
      <c r="E6092" s="134"/>
      <c r="F6092" s="134"/>
      <c r="G6092" s="135" t="s">
        <v>386</v>
      </c>
      <c r="H6092" s="136"/>
      <c r="I6092" s="137">
        <f>SUM(I6088:I6091)</f>
        <v>201644.1</v>
      </c>
    </row>
    <row r="6093" spans="3:9" ht="15.95" customHeight="1" thickBot="1" x14ac:dyDescent="0.3">
      <c r="C6093" s="116" t="s">
        <v>387</v>
      </c>
      <c r="D6093" s="117" t="s">
        <v>388</v>
      </c>
      <c r="E6093" s="118"/>
      <c r="F6093" s="118"/>
      <c r="G6093" s="165"/>
      <c r="H6093" s="144">
        <f>IF(AND(D6093&lt;&gt;"",F6093&lt;&gt;""),IF(C6093="",IF(F6093="OH",VLOOKUP(D6093,[1]UPAH!$B$3:$G$32,7,0),VLOOKUP(D6093,[1]BAHAN!$A$2:$D$3,4,0)),0),0)</f>
        <v>0</v>
      </c>
      <c r="I6093" s="126">
        <f>G6093*H6093</f>
        <v>0</v>
      </c>
    </row>
    <row r="6094" spans="3:9" ht="15.95" customHeight="1" thickBot="1" x14ac:dyDescent="0.3">
      <c r="C6094" s="132"/>
      <c r="D6094" s="133"/>
      <c r="E6094" s="134"/>
      <c r="F6094" s="134"/>
      <c r="G6094" s="135" t="s">
        <v>389</v>
      </c>
      <c r="H6094" s="136"/>
      <c r="I6094" s="137">
        <f>I6093</f>
        <v>0</v>
      </c>
    </row>
    <row r="6095" spans="3:9" ht="15.95" customHeight="1" x14ac:dyDescent="0.25">
      <c r="C6095" s="158" t="s">
        <v>390</v>
      </c>
      <c r="D6095" s="159" t="s">
        <v>391</v>
      </c>
      <c r="E6095" s="160"/>
      <c r="F6095" s="160"/>
      <c r="G6095" s="161"/>
      <c r="H6095" s="162">
        <f>IF(AND(D6095&lt;&gt;"",F6095&lt;&gt;""),IF(C6095="",IF(F6095="OH",VLOOKUP(D6095,[1]UPAH!$B$3:$G$32,7,0),VLOOKUP(D6095,[1]BAHAN!$A$2:$D$3,4,0)),0),0)</f>
        <v>0</v>
      </c>
      <c r="I6095" s="126">
        <f>SUM(I6082:I6094)/2</f>
        <v>708044.10000000009</v>
      </c>
    </row>
    <row r="6096" spans="3:9" ht="15.95" customHeight="1" thickBot="1" x14ac:dyDescent="0.3">
      <c r="C6096" s="147" t="s">
        <v>392</v>
      </c>
      <c r="D6096" s="148" t="s">
        <v>393</v>
      </c>
      <c r="E6096" s="149"/>
      <c r="F6096" s="149"/>
      <c r="G6096" s="164">
        <v>0.1</v>
      </c>
      <c r="H6096" s="151"/>
      <c r="I6096" s="146">
        <f>G6096*I6095</f>
        <v>70804.410000000018</v>
      </c>
    </row>
    <row r="6097" spans="2:10" ht="15.95" customHeight="1" thickBot="1" x14ac:dyDescent="0.3">
      <c r="C6097" s="111" t="s">
        <v>394</v>
      </c>
      <c r="D6097" s="112" t="s">
        <v>395</v>
      </c>
      <c r="E6097" s="134"/>
      <c r="F6097" s="134"/>
      <c r="G6097" s="156"/>
      <c r="H6097" s="136">
        <f>IF(AND(D6097&lt;&gt;"",F6097&lt;&gt;""),IF(C6097="",IF(F6097="OH",VLOOKUP(D6097,[1]UPAH!$B$3:$G$32,7,0),VLOOKUP(D6097,[1]BAHAN!$A$2:$D$3,4,0)),0),0)</f>
        <v>0</v>
      </c>
      <c r="I6097" s="137">
        <f>ROUNDDOWN(I6095+I6096,0)</f>
        <v>778848</v>
      </c>
    </row>
    <row r="6098" spans="2:10" ht="15.95" customHeight="1" x14ac:dyDescent="0.25">
      <c r="C6098" s="109"/>
      <c r="D6098" s="109"/>
      <c r="G6098" s="157"/>
    </row>
    <row r="6099" spans="2:10" ht="15.95" customHeight="1" thickBot="1" x14ac:dyDescent="0.3">
      <c r="B6099" s="247" t="s">
        <v>1328</v>
      </c>
      <c r="C6099" s="104" t="s">
        <v>1329</v>
      </c>
      <c r="G6099" s="157"/>
      <c r="J6099" s="110">
        <f>I6115</f>
        <v>822685</v>
      </c>
    </row>
    <row r="6100" spans="2:10" ht="15.95" customHeight="1" thickBot="1" x14ac:dyDescent="0.3">
      <c r="C6100" s="111" t="s">
        <v>328</v>
      </c>
      <c r="D6100" s="112" t="s">
        <v>359</v>
      </c>
      <c r="E6100" s="113" t="s">
        <v>360</v>
      </c>
      <c r="F6100" s="113" t="s">
        <v>330</v>
      </c>
      <c r="G6100" s="114" t="s">
        <v>361</v>
      </c>
      <c r="H6100" s="112" t="s">
        <v>362</v>
      </c>
      <c r="I6100" s="115" t="s">
        <v>363</v>
      </c>
    </row>
    <row r="6101" spans="2:10" ht="15.95" customHeight="1" x14ac:dyDescent="0.25">
      <c r="C6101" s="116" t="s">
        <v>364</v>
      </c>
      <c r="D6101" s="117" t="s">
        <v>365</v>
      </c>
      <c r="E6101" s="118"/>
      <c r="F6101" s="118"/>
      <c r="G6101" s="165"/>
      <c r="H6101" s="144"/>
      <c r="I6101" s="126"/>
    </row>
    <row r="6102" spans="2:10" ht="15.95" customHeight="1" x14ac:dyDescent="0.25">
      <c r="C6102" s="122"/>
      <c r="D6102" s="117" t="s">
        <v>366</v>
      </c>
      <c r="E6102" s="123" t="s">
        <v>367</v>
      </c>
      <c r="F6102" s="239" t="s">
        <v>368</v>
      </c>
      <c r="G6102" s="186">
        <v>0.67</v>
      </c>
      <c r="H6102" s="125">
        <f>VLOOKUP(D6102,Upah,8,FALSE)</f>
        <v>125000</v>
      </c>
      <c r="I6102" s="126">
        <f>G6102*H6102</f>
        <v>83750</v>
      </c>
    </row>
    <row r="6103" spans="2:10" ht="15.95" customHeight="1" x14ac:dyDescent="0.25">
      <c r="C6103" s="122"/>
      <c r="D6103" s="117" t="s">
        <v>611</v>
      </c>
      <c r="E6103" s="123" t="s">
        <v>370</v>
      </c>
      <c r="F6103" s="239" t="s">
        <v>368</v>
      </c>
      <c r="G6103" s="240">
        <v>2</v>
      </c>
      <c r="H6103" s="125">
        <f>VLOOKUP(D6103,Upah,8,FALSE)</f>
        <v>150000</v>
      </c>
      <c r="I6103" s="126">
        <f>G6103*H6103</f>
        <v>300000</v>
      </c>
    </row>
    <row r="6104" spans="2:10" ht="15.95" customHeight="1" x14ac:dyDescent="0.25">
      <c r="C6104" s="122"/>
      <c r="D6104" s="117" t="s">
        <v>429</v>
      </c>
      <c r="E6104" s="123" t="s">
        <v>372</v>
      </c>
      <c r="F6104" s="239" t="s">
        <v>368</v>
      </c>
      <c r="G6104" s="186">
        <v>0.2</v>
      </c>
      <c r="H6104" s="125">
        <f>VLOOKUP(D6104,Upah,8,FALSE)</f>
        <v>165000</v>
      </c>
      <c r="I6104" s="126">
        <f>G6104*H6104</f>
        <v>33000</v>
      </c>
    </row>
    <row r="6105" spans="2:10" ht="15.95" customHeight="1" thickBot="1" x14ac:dyDescent="0.3">
      <c r="C6105" s="122"/>
      <c r="D6105" s="117" t="s">
        <v>373</v>
      </c>
      <c r="E6105" s="123" t="s">
        <v>374</v>
      </c>
      <c r="F6105" s="239" t="s">
        <v>368</v>
      </c>
      <c r="G6105" s="186">
        <v>0.33500000000000002</v>
      </c>
      <c r="H6105" s="125">
        <f>VLOOKUP(D6105,Upah,8,FALSE)</f>
        <v>170000</v>
      </c>
      <c r="I6105" s="126">
        <f>G6105*H6105</f>
        <v>56950</v>
      </c>
    </row>
    <row r="6106" spans="2:10" ht="15.95" customHeight="1" thickBot="1" x14ac:dyDescent="0.3">
      <c r="C6106" s="132"/>
      <c r="D6106" s="133"/>
      <c r="E6106" s="134"/>
      <c r="F6106" s="134"/>
      <c r="G6106" s="135" t="s">
        <v>375</v>
      </c>
      <c r="H6106" s="136"/>
      <c r="I6106" s="137">
        <f>SUM(I6102:I6105)</f>
        <v>473700</v>
      </c>
    </row>
    <row r="6107" spans="2:10" ht="15.95" customHeight="1" x14ac:dyDescent="0.25">
      <c r="C6107" s="116" t="s">
        <v>376</v>
      </c>
      <c r="D6107" s="117" t="s">
        <v>377</v>
      </c>
      <c r="E6107" s="118"/>
      <c r="F6107" s="118"/>
      <c r="G6107" s="165"/>
      <c r="H6107" s="144"/>
      <c r="I6107" s="126"/>
    </row>
    <row r="6108" spans="2:10" ht="15.95" customHeight="1" x14ac:dyDescent="0.25">
      <c r="C6108" s="122"/>
      <c r="D6108" s="117" t="s">
        <v>1330</v>
      </c>
      <c r="E6108" s="118"/>
      <c r="F6108" s="239" t="s">
        <v>158</v>
      </c>
      <c r="G6108" s="186">
        <v>0.06</v>
      </c>
      <c r="H6108" s="144">
        <f>VLOOKUP(D6108,Bahan,6,FALSE)</f>
        <v>4500000</v>
      </c>
      <c r="I6108" s="126">
        <f>G6108*H6108</f>
        <v>270000</v>
      </c>
    </row>
    <row r="6109" spans="2:10" ht="15.95" customHeight="1" thickBot="1" x14ac:dyDescent="0.3">
      <c r="C6109" s="122"/>
      <c r="D6109" s="117" t="s">
        <v>613</v>
      </c>
      <c r="E6109" s="118"/>
      <c r="F6109" s="239" t="s">
        <v>133</v>
      </c>
      <c r="G6109" s="186">
        <v>0.15</v>
      </c>
      <c r="H6109" s="144">
        <f>VLOOKUP(D6109,Bahan,6,FALSE)</f>
        <v>27970</v>
      </c>
      <c r="I6109" s="126">
        <f>G6109*H6109</f>
        <v>4195.5</v>
      </c>
    </row>
    <row r="6110" spans="2:10" ht="15.95" customHeight="1" thickBot="1" x14ac:dyDescent="0.3">
      <c r="C6110" s="132"/>
      <c r="D6110" s="133"/>
      <c r="E6110" s="134"/>
      <c r="F6110" s="134"/>
      <c r="G6110" s="135" t="s">
        <v>386</v>
      </c>
      <c r="H6110" s="136"/>
      <c r="I6110" s="137">
        <f>SUM(I6108:I6109)</f>
        <v>274195.5</v>
      </c>
    </row>
    <row r="6111" spans="2:10" ht="15.95" customHeight="1" thickBot="1" x14ac:dyDescent="0.3">
      <c r="C6111" s="116" t="s">
        <v>387</v>
      </c>
      <c r="D6111" s="117" t="s">
        <v>388</v>
      </c>
      <c r="E6111" s="118"/>
      <c r="F6111" s="118"/>
      <c r="G6111" s="165"/>
      <c r="H6111" s="144">
        <f>IF(AND(D6111&lt;&gt;"",F6111&lt;&gt;""),IF(C6111="",IF(F6111="OH",VLOOKUP(D6111,[1]UPAH!$B$3:$G$32,7,0),VLOOKUP(D6111,[1]BAHAN!$A$2:$D$3,4,0)),0),0)</f>
        <v>0</v>
      </c>
      <c r="I6111" s="126">
        <f>G6111*H6111</f>
        <v>0</v>
      </c>
    </row>
    <row r="6112" spans="2:10" ht="15.95" customHeight="1" thickBot="1" x14ac:dyDescent="0.3">
      <c r="C6112" s="132"/>
      <c r="D6112" s="133"/>
      <c r="E6112" s="134"/>
      <c r="F6112" s="134"/>
      <c r="G6112" s="135" t="s">
        <v>389</v>
      </c>
      <c r="H6112" s="136"/>
      <c r="I6112" s="137">
        <f>I6111</f>
        <v>0</v>
      </c>
    </row>
    <row r="6113" spans="2:10" ht="15.95" customHeight="1" x14ac:dyDescent="0.25">
      <c r="C6113" s="158" t="s">
        <v>390</v>
      </c>
      <c r="D6113" s="159" t="s">
        <v>391</v>
      </c>
      <c r="E6113" s="160"/>
      <c r="F6113" s="160"/>
      <c r="G6113" s="161"/>
      <c r="H6113" s="162">
        <f>IF(AND(D6113&lt;&gt;"",F6113&lt;&gt;""),IF(C6113="",IF(F6113="OH",VLOOKUP(D6113,[1]UPAH!$B$3:$G$32,7,0),VLOOKUP(D6113,[1]BAHAN!$A$2:$D$3,4,0)),0),0)</f>
        <v>0</v>
      </c>
      <c r="I6113" s="126">
        <f>SUM(I6102:I6112)/2</f>
        <v>747895.5</v>
      </c>
    </row>
    <row r="6114" spans="2:10" ht="15.95" customHeight="1" thickBot="1" x14ac:dyDescent="0.3">
      <c r="C6114" s="147" t="s">
        <v>392</v>
      </c>
      <c r="D6114" s="148" t="s">
        <v>393</v>
      </c>
      <c r="E6114" s="149"/>
      <c r="F6114" s="149"/>
      <c r="G6114" s="164">
        <v>0.1</v>
      </c>
      <c r="H6114" s="151"/>
      <c r="I6114" s="146">
        <f>G6114*I6113</f>
        <v>74789.55</v>
      </c>
    </row>
    <row r="6115" spans="2:10" ht="15.95" customHeight="1" thickBot="1" x14ac:dyDescent="0.3">
      <c r="C6115" s="111" t="s">
        <v>394</v>
      </c>
      <c r="D6115" s="112" t="s">
        <v>395</v>
      </c>
      <c r="E6115" s="134"/>
      <c r="F6115" s="134"/>
      <c r="G6115" s="156"/>
      <c r="H6115" s="136">
        <f>IF(AND(D6115&lt;&gt;"",F6115&lt;&gt;""),IF(C6115="",IF(F6115="OH",VLOOKUP(D6115,[1]UPAH!$B$3:$G$32,7,0),VLOOKUP(D6115,[1]BAHAN!$A$2:$D$3,4,0)),0),0)</f>
        <v>0</v>
      </c>
      <c r="I6115" s="137">
        <f>ROUNDDOWN(I6113+I6114,0)</f>
        <v>822685</v>
      </c>
    </row>
    <row r="6116" spans="2:10" ht="15.95" customHeight="1" x14ac:dyDescent="0.25">
      <c r="C6116" s="109"/>
      <c r="D6116" s="109"/>
      <c r="G6116" s="157"/>
    </row>
    <row r="6117" spans="2:10" ht="15.95" customHeight="1" thickBot="1" x14ac:dyDescent="0.3">
      <c r="B6117" s="247" t="s">
        <v>1331</v>
      </c>
      <c r="C6117" s="104" t="s">
        <v>1332</v>
      </c>
      <c r="G6117" s="157"/>
      <c r="J6117" s="110">
        <f>I6135</f>
        <v>767120</v>
      </c>
    </row>
    <row r="6118" spans="2:10" ht="15.95" customHeight="1" thickBot="1" x14ac:dyDescent="0.3">
      <c r="C6118" s="111" t="s">
        <v>328</v>
      </c>
      <c r="D6118" s="112" t="s">
        <v>359</v>
      </c>
      <c r="E6118" s="113" t="s">
        <v>360</v>
      </c>
      <c r="F6118" s="113" t="s">
        <v>330</v>
      </c>
      <c r="G6118" s="114" t="s">
        <v>361</v>
      </c>
      <c r="H6118" s="112" t="s">
        <v>362</v>
      </c>
      <c r="I6118" s="115" t="s">
        <v>363</v>
      </c>
    </row>
    <row r="6119" spans="2:10" ht="15.95" customHeight="1" x14ac:dyDescent="0.25">
      <c r="C6119" s="116" t="s">
        <v>364</v>
      </c>
      <c r="D6119" s="117" t="s">
        <v>365</v>
      </c>
      <c r="E6119" s="118"/>
      <c r="F6119" s="118"/>
      <c r="G6119" s="165"/>
      <c r="H6119" s="144"/>
      <c r="I6119" s="126"/>
    </row>
    <row r="6120" spans="2:10" ht="15.95" customHeight="1" x14ac:dyDescent="0.25">
      <c r="C6120" s="122"/>
      <c r="D6120" s="117" t="s">
        <v>366</v>
      </c>
      <c r="E6120" s="123" t="s">
        <v>367</v>
      </c>
      <c r="F6120" s="239" t="s">
        <v>368</v>
      </c>
      <c r="G6120" s="186">
        <v>0.8</v>
      </c>
      <c r="H6120" s="125">
        <f>VLOOKUP(D6120,Upah,8,FALSE)</f>
        <v>125000</v>
      </c>
      <c r="I6120" s="126">
        <f>G6120*H6120</f>
        <v>100000</v>
      </c>
    </row>
    <row r="6121" spans="2:10" ht="15.95" customHeight="1" x14ac:dyDescent="0.25">
      <c r="C6121" s="122"/>
      <c r="D6121" s="117" t="s">
        <v>611</v>
      </c>
      <c r="E6121" s="123" t="s">
        <v>370</v>
      </c>
      <c r="F6121" s="239" t="s">
        <v>368</v>
      </c>
      <c r="G6121" s="240">
        <v>2.4</v>
      </c>
      <c r="H6121" s="125">
        <f>VLOOKUP(D6121,Upah,8,FALSE)</f>
        <v>150000</v>
      </c>
      <c r="I6121" s="126">
        <f>G6121*H6121</f>
        <v>360000</v>
      </c>
    </row>
    <row r="6122" spans="2:10" ht="15.95" customHeight="1" x14ac:dyDescent="0.25">
      <c r="C6122" s="122"/>
      <c r="D6122" s="117" t="s">
        <v>429</v>
      </c>
      <c r="E6122" s="123" t="s">
        <v>372</v>
      </c>
      <c r="F6122" s="239" t="s">
        <v>368</v>
      </c>
      <c r="G6122" s="186">
        <v>0.24</v>
      </c>
      <c r="H6122" s="125">
        <f>VLOOKUP(D6122,Upah,8,FALSE)</f>
        <v>165000</v>
      </c>
      <c r="I6122" s="126">
        <f>G6122*H6122</f>
        <v>39600</v>
      </c>
    </row>
    <row r="6123" spans="2:10" ht="15.95" customHeight="1" thickBot="1" x14ac:dyDescent="0.3">
      <c r="C6123" s="122"/>
      <c r="D6123" s="117" t="s">
        <v>373</v>
      </c>
      <c r="E6123" s="123" t="s">
        <v>374</v>
      </c>
      <c r="F6123" s="239" t="s">
        <v>368</v>
      </c>
      <c r="G6123" s="186">
        <v>0.04</v>
      </c>
      <c r="H6123" s="125">
        <f>VLOOKUP(D6123,Upah,8,FALSE)</f>
        <v>170000</v>
      </c>
      <c r="I6123" s="126">
        <f>G6123*H6123</f>
        <v>6800</v>
      </c>
    </row>
    <row r="6124" spans="2:10" ht="15.95" customHeight="1" thickBot="1" x14ac:dyDescent="0.3">
      <c r="C6124" s="132"/>
      <c r="D6124" s="133"/>
      <c r="E6124" s="134"/>
      <c r="F6124" s="134"/>
      <c r="G6124" s="135" t="s">
        <v>375</v>
      </c>
      <c r="H6124" s="136"/>
      <c r="I6124" s="137">
        <f>SUM(I6120:I6123)</f>
        <v>506400</v>
      </c>
    </row>
    <row r="6125" spans="2:10" ht="15.95" customHeight="1" x14ac:dyDescent="0.25">
      <c r="C6125" s="116" t="s">
        <v>376</v>
      </c>
      <c r="D6125" s="117" t="s">
        <v>377</v>
      </c>
      <c r="E6125" s="118"/>
      <c r="F6125" s="118"/>
      <c r="G6125" s="165"/>
      <c r="H6125" s="144"/>
      <c r="I6125" s="126"/>
    </row>
    <row r="6126" spans="2:10" ht="15.95" customHeight="1" x14ac:dyDescent="0.25">
      <c r="C6126" s="122"/>
      <c r="D6126" s="117" t="s">
        <v>1330</v>
      </c>
      <c r="E6126" s="118"/>
      <c r="F6126" s="239" t="s">
        <v>158</v>
      </c>
      <c r="G6126" s="186">
        <v>2.5000000000000001E-2</v>
      </c>
      <c r="H6126" s="144">
        <f>VLOOKUP(D6126,Bahan,6,FALSE)</f>
        <v>4500000</v>
      </c>
      <c r="I6126" s="126">
        <f>G6126*H6126</f>
        <v>112500</v>
      </c>
    </row>
    <row r="6127" spans="2:10" ht="15.95" customHeight="1" x14ac:dyDescent="0.25">
      <c r="C6127" s="122"/>
      <c r="D6127" s="117" t="s">
        <v>613</v>
      </c>
      <c r="E6127" s="118"/>
      <c r="F6127" s="239" t="s">
        <v>133</v>
      </c>
      <c r="G6127" s="186">
        <v>0.03</v>
      </c>
      <c r="H6127" s="144">
        <f>VLOOKUP(D6127,Bahan,6,FALSE)</f>
        <v>27970</v>
      </c>
      <c r="I6127" s="126">
        <f>G6127*H6127</f>
        <v>839.1</v>
      </c>
    </row>
    <row r="6128" spans="2:10" ht="15.95" customHeight="1" x14ac:dyDescent="0.25">
      <c r="C6128" s="122"/>
      <c r="D6128" s="117" t="s">
        <v>1082</v>
      </c>
      <c r="E6128" s="118"/>
      <c r="F6128" s="239" t="s">
        <v>133</v>
      </c>
      <c r="G6128" s="186">
        <v>0.3</v>
      </c>
      <c r="H6128" s="144">
        <f>VLOOKUP(D6128,Bahan,6,FALSE)</f>
        <v>15210</v>
      </c>
      <c r="I6128" s="126">
        <f>G6128*H6128</f>
        <v>4563</v>
      </c>
    </row>
    <row r="6129" spans="2:10" ht="15.95" customHeight="1" thickBot="1" x14ac:dyDescent="0.3">
      <c r="C6129" s="122"/>
      <c r="D6129" s="117" t="s">
        <v>1333</v>
      </c>
      <c r="E6129" s="118"/>
      <c r="F6129" s="123" t="s">
        <v>621</v>
      </c>
      <c r="G6129" s="240">
        <v>1</v>
      </c>
      <c r="H6129" s="144">
        <f>VLOOKUP(D6129,Bahan,6,FALSE)</f>
        <v>73080</v>
      </c>
      <c r="I6129" s="126">
        <f>G6129*H6129</f>
        <v>73080</v>
      </c>
    </row>
    <row r="6130" spans="2:10" ht="15.95" customHeight="1" thickBot="1" x14ac:dyDescent="0.3">
      <c r="C6130" s="132"/>
      <c r="D6130" s="133"/>
      <c r="E6130" s="134"/>
      <c r="F6130" s="134"/>
      <c r="G6130" s="135" t="s">
        <v>386</v>
      </c>
      <c r="H6130" s="136"/>
      <c r="I6130" s="137">
        <f>SUM(I6126:I6129)</f>
        <v>190982.1</v>
      </c>
    </row>
    <row r="6131" spans="2:10" ht="15.95" customHeight="1" thickBot="1" x14ac:dyDescent="0.3">
      <c r="C6131" s="116" t="s">
        <v>387</v>
      </c>
      <c r="D6131" s="117" t="s">
        <v>388</v>
      </c>
      <c r="E6131" s="118"/>
      <c r="F6131" s="118"/>
      <c r="G6131" s="165"/>
      <c r="H6131" s="144">
        <f>IF(AND(D6131&lt;&gt;"",F6131&lt;&gt;""),IF(C6131="",IF(F6131="OH",VLOOKUP(D6131,[1]UPAH!$B$3:$G$32,7,0),VLOOKUP(D6131,[1]BAHAN!$A$2:$D$3,4,0)),0),0)</f>
        <v>0</v>
      </c>
      <c r="I6131" s="126">
        <f>G6131*H6131</f>
        <v>0</v>
      </c>
    </row>
    <row r="6132" spans="2:10" ht="15.95" customHeight="1" thickBot="1" x14ac:dyDescent="0.3">
      <c r="C6132" s="132"/>
      <c r="D6132" s="133"/>
      <c r="E6132" s="134"/>
      <c r="F6132" s="134"/>
      <c r="G6132" s="135" t="s">
        <v>389</v>
      </c>
      <c r="H6132" s="136"/>
      <c r="I6132" s="137">
        <f>I6131</f>
        <v>0</v>
      </c>
    </row>
    <row r="6133" spans="2:10" ht="15.95" customHeight="1" x14ac:dyDescent="0.25">
      <c r="C6133" s="158" t="s">
        <v>390</v>
      </c>
      <c r="D6133" s="159" t="s">
        <v>391</v>
      </c>
      <c r="E6133" s="160"/>
      <c r="F6133" s="160"/>
      <c r="G6133" s="161"/>
      <c r="H6133" s="162">
        <f>IF(AND(D6133&lt;&gt;"",F6133&lt;&gt;""),IF(C6133="",IF(F6133="OH",VLOOKUP(D6133,[1]UPAH!$B$3:$G$32,7,0),VLOOKUP(D6133,[1]BAHAN!$A$2:$D$3,4,0)),0),0)</f>
        <v>0</v>
      </c>
      <c r="I6133" s="126">
        <f>SUM(I6120:I6132)/2</f>
        <v>697382.10000000009</v>
      </c>
    </row>
    <row r="6134" spans="2:10" ht="15.95" customHeight="1" thickBot="1" x14ac:dyDescent="0.3">
      <c r="C6134" s="147" t="s">
        <v>392</v>
      </c>
      <c r="D6134" s="148" t="s">
        <v>393</v>
      </c>
      <c r="E6134" s="149"/>
      <c r="F6134" s="149"/>
      <c r="G6134" s="164">
        <v>0.1</v>
      </c>
      <c r="H6134" s="151"/>
      <c r="I6134" s="146">
        <f>G6134*I6133</f>
        <v>69738.210000000006</v>
      </c>
    </row>
    <row r="6135" spans="2:10" ht="15.95" customHeight="1" thickBot="1" x14ac:dyDescent="0.3">
      <c r="C6135" s="111" t="s">
        <v>394</v>
      </c>
      <c r="D6135" s="112" t="s">
        <v>395</v>
      </c>
      <c r="E6135" s="134"/>
      <c r="F6135" s="134"/>
      <c r="G6135" s="156"/>
      <c r="H6135" s="136">
        <f>IF(AND(D6135&lt;&gt;"",F6135&lt;&gt;""),IF(C6135="",IF(F6135="OH",VLOOKUP(D6135,[1]UPAH!$B$3:$G$32,7,0),VLOOKUP(D6135,[1]BAHAN!$A$2:$D$3,4,0)),0),0)</f>
        <v>0</v>
      </c>
      <c r="I6135" s="137">
        <f>ROUNDDOWN(I6133+I6134,0)</f>
        <v>767120</v>
      </c>
    </row>
    <row r="6136" spans="2:10" ht="15.95" customHeight="1" x14ac:dyDescent="0.25">
      <c r="C6136" s="109"/>
      <c r="D6136" s="109"/>
      <c r="G6136" s="157"/>
    </row>
    <row r="6137" spans="2:10" ht="15.95" customHeight="1" thickBot="1" x14ac:dyDescent="0.3">
      <c r="B6137" s="109" t="s">
        <v>1334</v>
      </c>
      <c r="C6137" s="104" t="s">
        <v>1335</v>
      </c>
      <c r="G6137" s="157"/>
      <c r="J6137" s="110">
        <f>I6156</f>
        <v>867319</v>
      </c>
    </row>
    <row r="6138" spans="2:10" ht="15.95" customHeight="1" thickBot="1" x14ac:dyDescent="0.3">
      <c r="C6138" s="111" t="s">
        <v>328</v>
      </c>
      <c r="D6138" s="112" t="s">
        <v>359</v>
      </c>
      <c r="E6138" s="113" t="s">
        <v>360</v>
      </c>
      <c r="F6138" s="113" t="s">
        <v>330</v>
      </c>
      <c r="G6138" s="114" t="s">
        <v>361</v>
      </c>
      <c r="H6138" s="112" t="s">
        <v>362</v>
      </c>
      <c r="I6138" s="115" t="s">
        <v>363</v>
      </c>
    </row>
    <row r="6139" spans="2:10" ht="15.95" customHeight="1" x14ac:dyDescent="0.25">
      <c r="C6139" s="116" t="s">
        <v>364</v>
      </c>
      <c r="D6139" s="117" t="s">
        <v>365</v>
      </c>
      <c r="E6139" s="118"/>
      <c r="F6139" s="118"/>
      <c r="G6139" s="165"/>
      <c r="H6139" s="144"/>
      <c r="I6139" s="126"/>
    </row>
    <row r="6140" spans="2:10" ht="15.95" customHeight="1" x14ac:dyDescent="0.25">
      <c r="C6140" s="122"/>
      <c r="D6140" s="117" t="s">
        <v>366</v>
      </c>
      <c r="E6140" s="123" t="s">
        <v>367</v>
      </c>
      <c r="F6140" s="239" t="s">
        <v>368</v>
      </c>
      <c r="G6140" s="186">
        <v>0.85</v>
      </c>
      <c r="H6140" s="125">
        <f>VLOOKUP(D6140,Upah,8,FALSE)</f>
        <v>125000</v>
      </c>
      <c r="I6140" s="126">
        <f>G6140*H6140</f>
        <v>106250</v>
      </c>
    </row>
    <row r="6141" spans="2:10" ht="15.95" customHeight="1" x14ac:dyDescent="0.25">
      <c r="C6141" s="122"/>
      <c r="D6141" s="117" t="s">
        <v>611</v>
      </c>
      <c r="E6141" s="123" t="s">
        <v>370</v>
      </c>
      <c r="F6141" s="239" t="s">
        <v>368</v>
      </c>
      <c r="G6141" s="240">
        <v>2.5499999999999998</v>
      </c>
      <c r="H6141" s="125">
        <f>VLOOKUP(D6141,Upah,8,FALSE)</f>
        <v>150000</v>
      </c>
      <c r="I6141" s="126">
        <f>G6141*H6141</f>
        <v>382500</v>
      </c>
    </row>
    <row r="6142" spans="2:10" ht="15.95" customHeight="1" x14ac:dyDescent="0.25">
      <c r="C6142" s="122"/>
      <c r="D6142" s="117" t="s">
        <v>429</v>
      </c>
      <c r="E6142" s="123" t="s">
        <v>372</v>
      </c>
      <c r="F6142" s="239" t="s">
        <v>368</v>
      </c>
      <c r="G6142" s="186">
        <v>0.255</v>
      </c>
      <c r="H6142" s="125">
        <f>VLOOKUP(D6142,Upah,8,FALSE)</f>
        <v>165000</v>
      </c>
      <c r="I6142" s="126">
        <f>G6142*H6142</f>
        <v>42075</v>
      </c>
    </row>
    <row r="6143" spans="2:10" ht="15.95" customHeight="1" thickBot="1" x14ac:dyDescent="0.3">
      <c r="C6143" s="122"/>
      <c r="D6143" s="117" t="s">
        <v>373</v>
      </c>
      <c r="E6143" s="123" t="s">
        <v>374</v>
      </c>
      <c r="F6143" s="239" t="s">
        <v>368</v>
      </c>
      <c r="G6143" s="186">
        <v>4.2999999999999997E-2</v>
      </c>
      <c r="H6143" s="125">
        <f>VLOOKUP(D6143,Upah,8,FALSE)</f>
        <v>170000</v>
      </c>
      <c r="I6143" s="126">
        <f>G6143*H6143</f>
        <v>7309.9999999999991</v>
      </c>
    </row>
    <row r="6144" spans="2:10" ht="15.95" customHeight="1" thickBot="1" x14ac:dyDescent="0.3">
      <c r="C6144" s="132"/>
      <c r="D6144" s="133"/>
      <c r="E6144" s="134"/>
      <c r="F6144" s="134"/>
      <c r="G6144" s="135" t="s">
        <v>375</v>
      </c>
      <c r="H6144" s="136"/>
      <c r="I6144" s="137">
        <f>SUM(I6140:I6143)</f>
        <v>538135</v>
      </c>
    </row>
    <row r="6145" spans="2:10" ht="15.95" customHeight="1" x14ac:dyDescent="0.25">
      <c r="C6145" s="116" t="s">
        <v>376</v>
      </c>
      <c r="D6145" s="117" t="s">
        <v>377</v>
      </c>
      <c r="E6145" s="118"/>
      <c r="F6145" s="118"/>
      <c r="G6145" s="165"/>
      <c r="H6145" s="144"/>
      <c r="I6145" s="126"/>
    </row>
    <row r="6146" spans="2:10" ht="15.95" customHeight="1" x14ac:dyDescent="0.25">
      <c r="C6146" s="122"/>
      <c r="D6146" s="117" t="s">
        <v>1330</v>
      </c>
      <c r="E6146" s="118"/>
      <c r="F6146" s="239" t="s">
        <v>158</v>
      </c>
      <c r="G6146" s="186">
        <v>2.5000000000000001E-2</v>
      </c>
      <c r="H6146" s="144">
        <f>VLOOKUP(D6146,Bahan,6,FALSE)</f>
        <v>4500000</v>
      </c>
      <c r="I6146" s="126">
        <f>G6146*H6146</f>
        <v>112500</v>
      </c>
    </row>
    <row r="6147" spans="2:10" ht="15.95" customHeight="1" x14ac:dyDescent="0.25">
      <c r="C6147" s="122"/>
      <c r="D6147" s="117" t="s">
        <v>613</v>
      </c>
      <c r="E6147" s="118"/>
      <c r="F6147" s="239" t="s">
        <v>133</v>
      </c>
      <c r="G6147" s="186">
        <v>0.03</v>
      </c>
      <c r="H6147" s="144">
        <f>VLOOKUP(D6147,Bahan,6,FALSE)</f>
        <v>27970</v>
      </c>
      <c r="I6147" s="126">
        <f>G6147*H6147</f>
        <v>839.1</v>
      </c>
    </row>
    <row r="6148" spans="2:10" ht="15.95" customHeight="1" x14ac:dyDescent="0.25">
      <c r="C6148" s="122"/>
      <c r="D6148" s="117" t="s">
        <v>1082</v>
      </c>
      <c r="E6148" s="118"/>
      <c r="F6148" s="239" t="s">
        <v>133</v>
      </c>
      <c r="G6148" s="186">
        <v>0.8</v>
      </c>
      <c r="H6148" s="144">
        <f>VLOOKUP(D6148,Bahan,6,FALSE)</f>
        <v>15210</v>
      </c>
      <c r="I6148" s="126">
        <f>G6148*H6148</f>
        <v>12168</v>
      </c>
    </row>
    <row r="6149" spans="2:10" ht="15.95" customHeight="1" x14ac:dyDescent="0.25">
      <c r="C6149" s="122"/>
      <c r="D6149" s="117" t="s">
        <v>1333</v>
      </c>
      <c r="E6149" s="118"/>
      <c r="F6149" s="123" t="s">
        <v>621</v>
      </c>
      <c r="G6149" s="240">
        <v>1</v>
      </c>
      <c r="H6149" s="144">
        <f>VLOOKUP(D6149,Bahan,6,FALSE)</f>
        <v>73080</v>
      </c>
      <c r="I6149" s="126">
        <f>G6149*H6149</f>
        <v>73080</v>
      </c>
    </row>
    <row r="6150" spans="2:10" ht="15.95" customHeight="1" thickBot="1" x14ac:dyDescent="0.3">
      <c r="C6150" s="122"/>
      <c r="D6150" s="117" t="s">
        <v>1336</v>
      </c>
      <c r="E6150" s="118"/>
      <c r="F6150" s="123" t="s">
        <v>621</v>
      </c>
      <c r="G6150" s="186">
        <v>0.5</v>
      </c>
      <c r="H6150" s="144">
        <f>VLOOKUP(D6150,Bahan,6,FALSE)</f>
        <v>103500</v>
      </c>
      <c r="I6150" s="126">
        <f>G6150*H6150</f>
        <v>51750</v>
      </c>
    </row>
    <row r="6151" spans="2:10" ht="15.95" customHeight="1" thickBot="1" x14ac:dyDescent="0.3">
      <c r="C6151" s="132"/>
      <c r="D6151" s="133"/>
      <c r="E6151" s="134"/>
      <c r="F6151" s="134"/>
      <c r="G6151" s="135" t="s">
        <v>386</v>
      </c>
      <c r="H6151" s="136"/>
      <c r="I6151" s="137">
        <f>SUM(I6146:I6150)</f>
        <v>250337.1</v>
      </c>
    </row>
    <row r="6152" spans="2:10" ht="15.95" customHeight="1" thickBot="1" x14ac:dyDescent="0.3">
      <c r="C6152" s="116" t="s">
        <v>387</v>
      </c>
      <c r="D6152" s="117" t="s">
        <v>388</v>
      </c>
      <c r="E6152" s="118"/>
      <c r="F6152" s="118"/>
      <c r="G6152" s="165"/>
      <c r="H6152" s="144">
        <f>IF(AND(D6152&lt;&gt;"",F6152&lt;&gt;""),IF(C6152="",IF(F6152="OH",VLOOKUP(D6152,[1]UPAH!$B$3:$G$32,7,0),VLOOKUP(D6152,[1]BAHAN!$A$2:$D$3,4,0)),0),0)</f>
        <v>0</v>
      </c>
      <c r="I6152" s="126">
        <f>G6152*H6152</f>
        <v>0</v>
      </c>
    </row>
    <row r="6153" spans="2:10" ht="15.95" customHeight="1" thickBot="1" x14ac:dyDescent="0.3">
      <c r="C6153" s="132"/>
      <c r="D6153" s="133"/>
      <c r="E6153" s="134"/>
      <c r="F6153" s="134"/>
      <c r="G6153" s="135" t="s">
        <v>389</v>
      </c>
      <c r="H6153" s="136"/>
      <c r="I6153" s="137">
        <f>I6152</f>
        <v>0</v>
      </c>
    </row>
    <row r="6154" spans="2:10" ht="15.95" customHeight="1" x14ac:dyDescent="0.25">
      <c r="C6154" s="158" t="s">
        <v>390</v>
      </c>
      <c r="D6154" s="159" t="s">
        <v>391</v>
      </c>
      <c r="E6154" s="160"/>
      <c r="F6154" s="160"/>
      <c r="G6154" s="161"/>
      <c r="H6154" s="162">
        <f>IF(AND(D6154&lt;&gt;"",F6154&lt;&gt;""),IF(C6154="",IF(F6154="OH",VLOOKUP(D6154,[1]UPAH!$B$3:$G$32,7,0),VLOOKUP(D6154,[1]BAHAN!$A$2:$D$3,4,0)),0),0)</f>
        <v>0</v>
      </c>
      <c r="I6154" s="126">
        <f>SUM(I6140:I6153)/2</f>
        <v>788472.10000000009</v>
      </c>
    </row>
    <row r="6155" spans="2:10" ht="15.95" customHeight="1" thickBot="1" x14ac:dyDescent="0.3">
      <c r="C6155" s="147" t="s">
        <v>392</v>
      </c>
      <c r="D6155" s="148" t="s">
        <v>393</v>
      </c>
      <c r="E6155" s="149"/>
      <c r="F6155" s="149"/>
      <c r="G6155" s="164">
        <v>0.1</v>
      </c>
      <c r="H6155" s="151"/>
      <c r="I6155" s="146">
        <f>G6155*I6154</f>
        <v>78847.210000000021</v>
      </c>
    </row>
    <row r="6156" spans="2:10" ht="15.95" customHeight="1" thickBot="1" x14ac:dyDescent="0.3">
      <c r="C6156" s="111" t="s">
        <v>394</v>
      </c>
      <c r="D6156" s="112" t="s">
        <v>395</v>
      </c>
      <c r="E6156" s="134"/>
      <c r="F6156" s="134"/>
      <c r="G6156" s="156"/>
      <c r="H6156" s="136">
        <f>IF(AND(D6156&lt;&gt;"",F6156&lt;&gt;""),IF(C6156="",IF(F6156="OH",VLOOKUP(D6156,[1]UPAH!$B$3:$G$32,7,0),VLOOKUP(D6156,[1]BAHAN!$A$2:$D$3,4,0)),0),0)</f>
        <v>0</v>
      </c>
      <c r="I6156" s="137">
        <f>ROUNDDOWN(I6154+I6155,0)</f>
        <v>867319</v>
      </c>
    </row>
    <row r="6157" spans="2:10" ht="15.95" customHeight="1" x14ac:dyDescent="0.25">
      <c r="C6157" s="109"/>
      <c r="D6157" s="109"/>
      <c r="G6157" s="157"/>
    </row>
    <row r="6158" spans="2:10" ht="15.95" customHeight="1" thickBot="1" x14ac:dyDescent="0.3">
      <c r="B6158" s="109" t="s">
        <v>1337</v>
      </c>
      <c r="C6158" s="104" t="s">
        <v>1338</v>
      </c>
      <c r="G6158" s="157"/>
      <c r="J6158" s="110">
        <f>I6175</f>
        <v>8499845</v>
      </c>
    </row>
    <row r="6159" spans="2:10" ht="15.95" customHeight="1" thickBot="1" x14ac:dyDescent="0.3">
      <c r="C6159" s="111" t="s">
        <v>328</v>
      </c>
      <c r="D6159" s="112" t="s">
        <v>359</v>
      </c>
      <c r="E6159" s="113" t="s">
        <v>360</v>
      </c>
      <c r="F6159" s="113" t="s">
        <v>330</v>
      </c>
      <c r="G6159" s="114" t="s">
        <v>361</v>
      </c>
      <c r="H6159" s="112" t="s">
        <v>362</v>
      </c>
      <c r="I6159" s="115" t="s">
        <v>363</v>
      </c>
    </row>
    <row r="6160" spans="2:10" ht="15.95" customHeight="1" x14ac:dyDescent="0.25">
      <c r="C6160" s="116" t="s">
        <v>364</v>
      </c>
      <c r="D6160" s="117" t="s">
        <v>365</v>
      </c>
      <c r="E6160" s="118"/>
      <c r="F6160" s="118"/>
      <c r="G6160" s="165"/>
      <c r="H6160" s="144"/>
      <c r="I6160" s="126"/>
    </row>
    <row r="6161" spans="3:9" ht="15.95" customHeight="1" x14ac:dyDescent="0.25">
      <c r="C6161" s="122"/>
      <c r="D6161" s="117" t="s">
        <v>366</v>
      </c>
      <c r="E6161" s="123" t="s">
        <v>367</v>
      </c>
      <c r="F6161" s="239" t="s">
        <v>368</v>
      </c>
      <c r="G6161" s="240">
        <v>4</v>
      </c>
      <c r="H6161" s="125">
        <f>VLOOKUP(D6161,Upah,8,FALSE)</f>
        <v>125000</v>
      </c>
      <c r="I6161" s="126">
        <f>G6161*H6161</f>
        <v>500000</v>
      </c>
    </row>
    <row r="6162" spans="3:9" ht="15.95" customHeight="1" x14ac:dyDescent="0.25">
      <c r="C6162" s="122"/>
      <c r="D6162" s="117" t="s">
        <v>611</v>
      </c>
      <c r="E6162" s="123" t="s">
        <v>370</v>
      </c>
      <c r="F6162" s="239" t="s">
        <v>368</v>
      </c>
      <c r="G6162" s="240">
        <v>12</v>
      </c>
      <c r="H6162" s="125">
        <f>VLOOKUP(D6162,Upah,8,FALSE)</f>
        <v>150000</v>
      </c>
      <c r="I6162" s="126">
        <f>G6162*H6162</f>
        <v>1800000</v>
      </c>
    </row>
    <row r="6163" spans="3:9" ht="15.95" customHeight="1" x14ac:dyDescent="0.25">
      <c r="C6163" s="122"/>
      <c r="D6163" s="117" t="s">
        <v>429</v>
      </c>
      <c r="E6163" s="123" t="s">
        <v>372</v>
      </c>
      <c r="F6163" s="239" t="s">
        <v>368</v>
      </c>
      <c r="G6163" s="240">
        <v>1.2</v>
      </c>
      <c r="H6163" s="125">
        <f>VLOOKUP(D6163,Upah,8,FALSE)</f>
        <v>165000</v>
      </c>
      <c r="I6163" s="126">
        <f>G6163*H6163</f>
        <v>198000</v>
      </c>
    </row>
    <row r="6164" spans="3:9" ht="15.95" customHeight="1" thickBot="1" x14ac:dyDescent="0.3">
      <c r="C6164" s="122"/>
      <c r="D6164" s="117" t="s">
        <v>373</v>
      </c>
      <c r="E6164" s="123" t="s">
        <v>374</v>
      </c>
      <c r="F6164" s="239" t="s">
        <v>368</v>
      </c>
      <c r="G6164" s="186">
        <v>0.2</v>
      </c>
      <c r="H6164" s="125">
        <f>VLOOKUP(D6164,Upah,8,FALSE)</f>
        <v>170000</v>
      </c>
      <c r="I6164" s="126">
        <f>G6164*H6164</f>
        <v>34000</v>
      </c>
    </row>
    <row r="6165" spans="3:9" ht="15.95" customHeight="1" thickBot="1" x14ac:dyDescent="0.3">
      <c r="C6165" s="132"/>
      <c r="D6165" s="133"/>
      <c r="E6165" s="134"/>
      <c r="F6165" s="134"/>
      <c r="G6165" s="135" t="s">
        <v>375</v>
      </c>
      <c r="H6165" s="136"/>
      <c r="I6165" s="137">
        <f>SUM(I6161:I6164)</f>
        <v>2532000</v>
      </c>
    </row>
    <row r="6166" spans="3:9" ht="15.95" customHeight="1" x14ac:dyDescent="0.25">
      <c r="C6166" s="116" t="s">
        <v>376</v>
      </c>
      <c r="D6166" s="117" t="s">
        <v>377</v>
      </c>
      <c r="E6166" s="118"/>
      <c r="F6166" s="118"/>
      <c r="G6166" s="165"/>
      <c r="H6166" s="144"/>
      <c r="I6166" s="126"/>
    </row>
    <row r="6167" spans="3:9" ht="15.95" customHeight="1" x14ac:dyDescent="0.25">
      <c r="C6167" s="122"/>
      <c r="D6167" s="117" t="s">
        <v>594</v>
      </c>
      <c r="E6167" s="118"/>
      <c r="F6167" s="239" t="s">
        <v>158</v>
      </c>
      <c r="G6167" s="240">
        <v>1.1000000000000001</v>
      </c>
      <c r="H6167" s="144">
        <f>VLOOKUP(D6167,Bahan,6,FALSE)</f>
        <v>4410000</v>
      </c>
      <c r="I6167" s="126">
        <f>G6167*H6167</f>
        <v>4851000</v>
      </c>
    </row>
    <row r="6168" spans="3:9" ht="15.95" customHeight="1" x14ac:dyDescent="0.25">
      <c r="C6168" s="122"/>
      <c r="D6168" s="117" t="s">
        <v>415</v>
      </c>
      <c r="E6168" s="118"/>
      <c r="F6168" s="239" t="s">
        <v>133</v>
      </c>
      <c r="G6168" s="240">
        <v>15</v>
      </c>
      <c r="H6168" s="144">
        <f>VLOOKUP(D6168,Bahan,6,FALSE)</f>
        <v>12500</v>
      </c>
      <c r="I6168" s="126">
        <f>G6168*H6168</f>
        <v>187500</v>
      </c>
    </row>
    <row r="6169" spans="3:9" ht="15.95" customHeight="1" thickBot="1" x14ac:dyDescent="0.3">
      <c r="C6169" s="122"/>
      <c r="D6169" s="117" t="s">
        <v>613</v>
      </c>
      <c r="E6169" s="118"/>
      <c r="F6169" s="239" t="s">
        <v>133</v>
      </c>
      <c r="G6169" s="240">
        <v>5.6</v>
      </c>
      <c r="H6169" s="144">
        <f>VLOOKUP(D6169,Bahan,6,FALSE)</f>
        <v>27970</v>
      </c>
      <c r="I6169" s="126">
        <f>G6169*H6169</f>
        <v>156632</v>
      </c>
    </row>
    <row r="6170" spans="3:9" ht="15.95" customHeight="1" thickBot="1" x14ac:dyDescent="0.3">
      <c r="C6170" s="132"/>
      <c r="D6170" s="133"/>
      <c r="E6170" s="134"/>
      <c r="F6170" s="134"/>
      <c r="G6170" s="135" t="s">
        <v>386</v>
      </c>
      <c r="H6170" s="136"/>
      <c r="I6170" s="137">
        <f>SUM(I6167:I6169)</f>
        <v>5195132</v>
      </c>
    </row>
    <row r="6171" spans="3:9" ht="15.95" customHeight="1" thickBot="1" x14ac:dyDescent="0.3">
      <c r="C6171" s="116" t="s">
        <v>387</v>
      </c>
      <c r="D6171" s="117" t="s">
        <v>388</v>
      </c>
      <c r="E6171" s="118"/>
      <c r="F6171" s="118"/>
      <c r="G6171" s="165"/>
      <c r="H6171" s="144">
        <f>IF(AND(D6171&lt;&gt;"",F6171&lt;&gt;""),IF(C6171="",IF(F6171="OH",VLOOKUP(D6171,[1]UPAH!$B$3:$G$32,7,0),VLOOKUP(D6171,[1]BAHAN!$A$2:$D$3,4,0)),0),0)</f>
        <v>0</v>
      </c>
      <c r="I6171" s="126">
        <f>G6171*H6171</f>
        <v>0</v>
      </c>
    </row>
    <row r="6172" spans="3:9" ht="15.95" customHeight="1" thickBot="1" x14ac:dyDescent="0.3">
      <c r="C6172" s="132"/>
      <c r="D6172" s="133"/>
      <c r="E6172" s="134"/>
      <c r="F6172" s="134"/>
      <c r="G6172" s="135" t="s">
        <v>389</v>
      </c>
      <c r="H6172" s="136"/>
      <c r="I6172" s="137">
        <f>I6171</f>
        <v>0</v>
      </c>
    </row>
    <row r="6173" spans="3:9" ht="15.95" customHeight="1" x14ac:dyDescent="0.25">
      <c r="C6173" s="158" t="s">
        <v>390</v>
      </c>
      <c r="D6173" s="159" t="s">
        <v>391</v>
      </c>
      <c r="E6173" s="160"/>
      <c r="F6173" s="160"/>
      <c r="G6173" s="161"/>
      <c r="H6173" s="162">
        <f>IF(AND(D6173&lt;&gt;"",F6173&lt;&gt;""),IF(C6173="",IF(F6173="OH",VLOOKUP(D6173,[1]UPAH!$B$3:$G$32,7,0),VLOOKUP(D6173,[1]BAHAN!$A$2:$D$3,4,0)),0),0)</f>
        <v>0</v>
      </c>
      <c r="I6173" s="126">
        <f>SUM(I6161:I6172)/2</f>
        <v>7727132</v>
      </c>
    </row>
    <row r="6174" spans="3:9" ht="15.95" customHeight="1" thickBot="1" x14ac:dyDescent="0.3">
      <c r="C6174" s="147" t="s">
        <v>392</v>
      </c>
      <c r="D6174" s="148" t="s">
        <v>393</v>
      </c>
      <c r="E6174" s="149"/>
      <c r="F6174" s="149"/>
      <c r="G6174" s="164">
        <v>0.1</v>
      </c>
      <c r="H6174" s="151"/>
      <c r="I6174" s="146">
        <f>G6174*I6173</f>
        <v>772713.20000000007</v>
      </c>
    </row>
    <row r="6175" spans="3:9" ht="15.95" customHeight="1" thickBot="1" x14ac:dyDescent="0.3">
      <c r="C6175" s="111" t="s">
        <v>394</v>
      </c>
      <c r="D6175" s="112" t="s">
        <v>395</v>
      </c>
      <c r="E6175" s="134"/>
      <c r="F6175" s="134"/>
      <c r="G6175" s="156"/>
      <c r="H6175" s="136">
        <f>IF(AND(D6175&lt;&gt;"",F6175&lt;&gt;""),IF(C6175="",IF(F6175="OH",VLOOKUP(D6175,[1]UPAH!$B$3:$G$32,7,0),VLOOKUP(D6175,[1]BAHAN!$A$2:$D$3,4,0)),0),0)</f>
        <v>0</v>
      </c>
      <c r="I6175" s="137">
        <f>ROUNDDOWN(I6173+I6174,0)</f>
        <v>8499845</v>
      </c>
    </row>
    <row r="6176" spans="3:9" ht="15.95" customHeight="1" x14ac:dyDescent="0.25">
      <c r="C6176" s="109"/>
      <c r="D6176" s="109"/>
      <c r="G6176" s="157"/>
    </row>
    <row r="6177" spans="2:10" ht="15.95" customHeight="1" thickBot="1" x14ac:dyDescent="0.3">
      <c r="B6177" s="109" t="s">
        <v>1339</v>
      </c>
      <c r="C6177" s="104" t="s">
        <v>1340</v>
      </c>
      <c r="G6177" s="157"/>
      <c r="J6177" s="110">
        <f>I6194</f>
        <v>13623755</v>
      </c>
    </row>
    <row r="6178" spans="2:10" ht="15.95" customHeight="1" thickBot="1" x14ac:dyDescent="0.3">
      <c r="C6178" s="111" t="s">
        <v>328</v>
      </c>
      <c r="D6178" s="112" t="s">
        <v>359</v>
      </c>
      <c r="E6178" s="113" t="s">
        <v>360</v>
      </c>
      <c r="F6178" s="113" t="s">
        <v>330</v>
      </c>
      <c r="G6178" s="114" t="s">
        <v>361</v>
      </c>
      <c r="H6178" s="112" t="s">
        <v>362</v>
      </c>
      <c r="I6178" s="115" t="s">
        <v>363</v>
      </c>
    </row>
    <row r="6179" spans="2:10" ht="15.95" customHeight="1" x14ac:dyDescent="0.25">
      <c r="C6179" s="116" t="s">
        <v>364</v>
      </c>
      <c r="D6179" s="117" t="s">
        <v>365</v>
      </c>
      <c r="E6179" s="118"/>
      <c r="F6179" s="118"/>
      <c r="G6179" s="165"/>
      <c r="H6179" s="144"/>
      <c r="I6179" s="126"/>
    </row>
    <row r="6180" spans="2:10" ht="15.95" customHeight="1" x14ac:dyDescent="0.25">
      <c r="C6180" s="122"/>
      <c r="D6180" s="117" t="s">
        <v>366</v>
      </c>
      <c r="E6180" s="123" t="s">
        <v>367</v>
      </c>
      <c r="F6180" s="239" t="s">
        <v>368</v>
      </c>
      <c r="G6180" s="240">
        <v>6.7</v>
      </c>
      <c r="H6180" s="125">
        <f>VLOOKUP(D6180,Upah,8,FALSE)</f>
        <v>125000</v>
      </c>
      <c r="I6180" s="126">
        <f>G6180*H6180</f>
        <v>837500</v>
      </c>
    </row>
    <row r="6181" spans="2:10" ht="15.95" customHeight="1" x14ac:dyDescent="0.25">
      <c r="C6181" s="122"/>
      <c r="D6181" s="117" t="s">
        <v>611</v>
      </c>
      <c r="E6181" s="123" t="s">
        <v>370</v>
      </c>
      <c r="F6181" s="239" t="s">
        <v>368</v>
      </c>
      <c r="G6181" s="240">
        <v>20.100000000000001</v>
      </c>
      <c r="H6181" s="125">
        <f>VLOOKUP(D6181,Upah,8,FALSE)</f>
        <v>150000</v>
      </c>
      <c r="I6181" s="126">
        <f>G6181*H6181</f>
        <v>3015000</v>
      </c>
    </row>
    <row r="6182" spans="2:10" ht="15.95" customHeight="1" x14ac:dyDescent="0.25">
      <c r="C6182" s="122"/>
      <c r="D6182" s="117" t="s">
        <v>429</v>
      </c>
      <c r="E6182" s="123" t="s">
        <v>372</v>
      </c>
      <c r="F6182" s="239" t="s">
        <v>368</v>
      </c>
      <c r="G6182" s="240">
        <v>2.0099999999999998</v>
      </c>
      <c r="H6182" s="125">
        <f>VLOOKUP(D6182,Upah,8,FALSE)</f>
        <v>165000</v>
      </c>
      <c r="I6182" s="126">
        <f>G6182*H6182</f>
        <v>331649.99999999994</v>
      </c>
    </row>
    <row r="6183" spans="2:10" ht="15.95" customHeight="1" thickBot="1" x14ac:dyDescent="0.3">
      <c r="C6183" s="122"/>
      <c r="D6183" s="117" t="s">
        <v>373</v>
      </c>
      <c r="E6183" s="123" t="s">
        <v>374</v>
      </c>
      <c r="F6183" s="239" t="s">
        <v>368</v>
      </c>
      <c r="G6183" s="186">
        <v>0.33500000000000002</v>
      </c>
      <c r="H6183" s="125">
        <f>VLOOKUP(D6183,Upah,8,FALSE)</f>
        <v>170000</v>
      </c>
      <c r="I6183" s="126">
        <f>G6183*H6183</f>
        <v>56950</v>
      </c>
    </row>
    <row r="6184" spans="2:10" ht="15.95" customHeight="1" thickBot="1" x14ac:dyDescent="0.3">
      <c r="C6184" s="132"/>
      <c r="D6184" s="133"/>
      <c r="E6184" s="134"/>
      <c r="F6184" s="134"/>
      <c r="G6184" s="135" t="s">
        <v>375</v>
      </c>
      <c r="H6184" s="136"/>
      <c r="I6184" s="137">
        <f>SUM(I6180:I6183)</f>
        <v>4241100</v>
      </c>
    </row>
    <row r="6185" spans="2:10" ht="15.95" customHeight="1" x14ac:dyDescent="0.25">
      <c r="C6185" s="116" t="s">
        <v>376</v>
      </c>
      <c r="D6185" s="117" t="s">
        <v>377</v>
      </c>
      <c r="E6185" s="118"/>
      <c r="F6185" s="118"/>
      <c r="G6185" s="165"/>
      <c r="H6185" s="144"/>
      <c r="I6185" s="126"/>
    </row>
    <row r="6186" spans="2:10" ht="15.95" customHeight="1" x14ac:dyDescent="0.25">
      <c r="C6186" s="122"/>
      <c r="D6186" s="117" t="s">
        <v>1904</v>
      </c>
      <c r="E6186" s="118"/>
      <c r="F6186" s="239" t="s">
        <v>158</v>
      </c>
      <c r="G6186" s="240">
        <v>1.2</v>
      </c>
      <c r="H6186" s="144">
        <f>VLOOKUP(D6186,Bahan,6,FALSE)</f>
        <v>6500000</v>
      </c>
      <c r="I6186" s="126">
        <f>G6186*H6186</f>
        <v>7800000</v>
      </c>
    </row>
    <row r="6187" spans="2:10" ht="15.95" customHeight="1" x14ac:dyDescent="0.25">
      <c r="C6187" s="122"/>
      <c r="D6187" s="117" t="s">
        <v>415</v>
      </c>
      <c r="E6187" s="118"/>
      <c r="F6187" s="239" t="s">
        <v>133</v>
      </c>
      <c r="G6187" s="240">
        <v>15</v>
      </c>
      <c r="H6187" s="144">
        <f>VLOOKUP(D6187,Bahan,6,FALSE)</f>
        <v>12500</v>
      </c>
      <c r="I6187" s="126">
        <f>G6187*H6187</f>
        <v>187500</v>
      </c>
    </row>
    <row r="6188" spans="2:10" ht="15.95" customHeight="1" thickBot="1" x14ac:dyDescent="0.3">
      <c r="C6188" s="122"/>
      <c r="D6188" s="117" t="s">
        <v>613</v>
      </c>
      <c r="E6188" s="118"/>
      <c r="F6188" s="239" t="s">
        <v>133</v>
      </c>
      <c r="G6188" s="240">
        <v>5.6</v>
      </c>
      <c r="H6188" s="144">
        <f>VLOOKUP(D6188,Bahan,6,FALSE)</f>
        <v>27970</v>
      </c>
      <c r="I6188" s="126">
        <f>G6188*H6188</f>
        <v>156632</v>
      </c>
    </row>
    <row r="6189" spans="2:10" ht="15.95" customHeight="1" thickBot="1" x14ac:dyDescent="0.3">
      <c r="C6189" s="132"/>
      <c r="D6189" s="133"/>
      <c r="E6189" s="134"/>
      <c r="F6189" s="134"/>
      <c r="G6189" s="135" t="s">
        <v>386</v>
      </c>
      <c r="H6189" s="136"/>
      <c r="I6189" s="137">
        <f>SUM(I6186:I6188)</f>
        <v>8144132</v>
      </c>
    </row>
    <row r="6190" spans="2:10" ht="15.95" customHeight="1" thickBot="1" x14ac:dyDescent="0.3">
      <c r="C6190" s="116" t="s">
        <v>387</v>
      </c>
      <c r="D6190" s="117" t="s">
        <v>388</v>
      </c>
      <c r="E6190" s="118"/>
      <c r="F6190" s="118"/>
      <c r="G6190" s="165"/>
      <c r="H6190" s="144">
        <f>IF(AND(D6190&lt;&gt;"",F6190&lt;&gt;""),IF(C6190="",IF(F6190="OH",VLOOKUP(D6190,[1]UPAH!$B$3:$G$32,7,0),VLOOKUP(D6190,[1]BAHAN!$A$2:$D$3,4,0)),0),0)</f>
        <v>0</v>
      </c>
      <c r="I6190" s="126">
        <f>G6190*H6190</f>
        <v>0</v>
      </c>
    </row>
    <row r="6191" spans="2:10" ht="15.95" customHeight="1" thickBot="1" x14ac:dyDescent="0.3">
      <c r="C6191" s="132"/>
      <c r="D6191" s="133"/>
      <c r="E6191" s="134"/>
      <c r="F6191" s="134"/>
      <c r="G6191" s="135" t="s">
        <v>389</v>
      </c>
      <c r="H6191" s="136"/>
      <c r="I6191" s="137">
        <f>I6190</f>
        <v>0</v>
      </c>
    </row>
    <row r="6192" spans="2:10" ht="15.95" customHeight="1" x14ac:dyDescent="0.25">
      <c r="C6192" s="158" t="s">
        <v>390</v>
      </c>
      <c r="D6192" s="159" t="s">
        <v>391</v>
      </c>
      <c r="E6192" s="160"/>
      <c r="F6192" s="160"/>
      <c r="G6192" s="161"/>
      <c r="H6192" s="162">
        <f>IF(AND(D6192&lt;&gt;"",F6192&lt;&gt;""),IF(C6192="",IF(F6192="OH",VLOOKUP(D6192,[1]UPAH!$B$3:$G$32,7,0),VLOOKUP(D6192,[1]BAHAN!$A$2:$D$3,4,0)),0),0)</f>
        <v>0</v>
      </c>
      <c r="I6192" s="126">
        <f>SUM(I6180:I6191)/2</f>
        <v>12385232</v>
      </c>
    </row>
    <row r="6193" spans="2:10" ht="15.95" customHeight="1" thickBot="1" x14ac:dyDescent="0.3">
      <c r="C6193" s="147" t="s">
        <v>392</v>
      </c>
      <c r="D6193" s="148" t="s">
        <v>393</v>
      </c>
      <c r="E6193" s="149"/>
      <c r="F6193" s="149"/>
      <c r="G6193" s="164">
        <v>0.1</v>
      </c>
      <c r="H6193" s="151"/>
      <c r="I6193" s="146">
        <f>G6193*I6192</f>
        <v>1238523.2</v>
      </c>
    </row>
    <row r="6194" spans="2:10" ht="15.95" customHeight="1" thickBot="1" x14ac:dyDescent="0.3">
      <c r="C6194" s="111" t="s">
        <v>394</v>
      </c>
      <c r="D6194" s="112" t="s">
        <v>395</v>
      </c>
      <c r="E6194" s="134"/>
      <c r="F6194" s="134"/>
      <c r="G6194" s="156"/>
      <c r="H6194" s="136">
        <f>IF(AND(D6194&lt;&gt;"",F6194&lt;&gt;""),IF(C6194="",IF(F6194="OH",VLOOKUP(D6194,[1]UPAH!$B$3:$G$32,7,0),VLOOKUP(D6194,[1]BAHAN!$A$2:$D$3,4,0)),0),0)</f>
        <v>0</v>
      </c>
      <c r="I6194" s="137">
        <f>ROUNDDOWN(I6192+I6193,0)</f>
        <v>13623755</v>
      </c>
    </row>
    <row r="6195" spans="2:10" ht="15.95" customHeight="1" x14ac:dyDescent="0.25">
      <c r="C6195" s="109"/>
      <c r="D6195" s="109"/>
      <c r="G6195" s="157"/>
    </row>
    <row r="6196" spans="2:10" ht="15.95" customHeight="1" thickBot="1" x14ac:dyDescent="0.3">
      <c r="B6196" s="109" t="s">
        <v>1341</v>
      </c>
      <c r="C6196" s="104" t="s">
        <v>1342</v>
      </c>
      <c r="G6196" s="157"/>
      <c r="J6196" s="110" t="e">
        <f>I6213</f>
        <v>#VALUE!</v>
      </c>
    </row>
    <row r="6197" spans="2:10" ht="15.95" customHeight="1" thickBot="1" x14ac:dyDescent="0.3">
      <c r="C6197" s="111" t="s">
        <v>328</v>
      </c>
      <c r="D6197" s="112" t="s">
        <v>359</v>
      </c>
      <c r="E6197" s="113" t="s">
        <v>360</v>
      </c>
      <c r="F6197" s="113" t="s">
        <v>330</v>
      </c>
      <c r="G6197" s="114" t="s">
        <v>361</v>
      </c>
      <c r="H6197" s="112" t="s">
        <v>362</v>
      </c>
      <c r="I6197" s="115" t="s">
        <v>363</v>
      </c>
    </row>
    <row r="6198" spans="2:10" ht="15.95" customHeight="1" x14ac:dyDescent="0.25">
      <c r="C6198" s="116" t="s">
        <v>364</v>
      </c>
      <c r="D6198" s="117" t="s">
        <v>365</v>
      </c>
      <c r="E6198" s="118"/>
      <c r="F6198" s="118"/>
      <c r="G6198" s="165"/>
      <c r="H6198" s="144"/>
      <c r="I6198" s="126"/>
    </row>
    <row r="6199" spans="2:10" ht="15.95" customHeight="1" x14ac:dyDescent="0.25">
      <c r="C6199" s="122"/>
      <c r="D6199" s="117" t="s">
        <v>366</v>
      </c>
      <c r="E6199" s="123" t="s">
        <v>367</v>
      </c>
      <c r="F6199" s="239" t="s">
        <v>368</v>
      </c>
      <c r="G6199" s="240">
        <v>6.7</v>
      </c>
      <c r="H6199" s="125">
        <f>VLOOKUP(D6199,Upah,8,FALSE)</f>
        <v>125000</v>
      </c>
      <c r="I6199" s="126">
        <f>G6199*H6199</f>
        <v>837500</v>
      </c>
    </row>
    <row r="6200" spans="2:10" ht="15.95" customHeight="1" x14ac:dyDescent="0.25">
      <c r="C6200" s="122"/>
      <c r="D6200" s="117" t="s">
        <v>611</v>
      </c>
      <c r="E6200" s="123" t="s">
        <v>370</v>
      </c>
      <c r="F6200" s="239" t="s">
        <v>368</v>
      </c>
      <c r="G6200" s="240">
        <v>20.100000000000001</v>
      </c>
      <c r="H6200" s="125">
        <f>VLOOKUP(D6200,Upah,8,FALSE)</f>
        <v>150000</v>
      </c>
      <c r="I6200" s="126">
        <f>G6200*H6200</f>
        <v>3015000</v>
      </c>
    </row>
    <row r="6201" spans="2:10" ht="15.95" customHeight="1" x14ac:dyDescent="0.25">
      <c r="C6201" s="122"/>
      <c r="D6201" s="117" t="s">
        <v>429</v>
      </c>
      <c r="E6201" s="123" t="s">
        <v>372</v>
      </c>
      <c r="F6201" s="239" t="s">
        <v>368</v>
      </c>
      <c r="G6201" s="240">
        <v>2.0099999999999998</v>
      </c>
      <c r="H6201" s="125">
        <f>VLOOKUP(D6201,Upah,8,FALSE)</f>
        <v>165000</v>
      </c>
      <c r="I6201" s="126">
        <f>G6201*H6201</f>
        <v>331649.99999999994</v>
      </c>
    </row>
    <row r="6202" spans="2:10" ht="15.95" customHeight="1" thickBot="1" x14ac:dyDescent="0.3">
      <c r="C6202" s="122"/>
      <c r="D6202" s="117" t="s">
        <v>373</v>
      </c>
      <c r="E6202" s="123" t="s">
        <v>374</v>
      </c>
      <c r="F6202" s="239" t="s">
        <v>368</v>
      </c>
      <c r="G6202" s="241" t="s">
        <v>1343</v>
      </c>
      <c r="H6202" s="125">
        <f>VLOOKUP(D6202,Upah,8,FALSE)</f>
        <v>170000</v>
      </c>
      <c r="I6202" s="126" t="e">
        <f>G6202*H6202</f>
        <v>#VALUE!</v>
      </c>
    </row>
    <row r="6203" spans="2:10" ht="15.95" customHeight="1" thickBot="1" x14ac:dyDescent="0.3">
      <c r="C6203" s="132"/>
      <c r="D6203" s="133"/>
      <c r="E6203" s="134"/>
      <c r="F6203" s="134"/>
      <c r="G6203" s="135" t="s">
        <v>375</v>
      </c>
      <c r="H6203" s="136"/>
      <c r="I6203" s="137" t="e">
        <f>SUM(I6199:I6202)</f>
        <v>#VALUE!</v>
      </c>
    </row>
    <row r="6204" spans="2:10" ht="15.95" customHeight="1" x14ac:dyDescent="0.25">
      <c r="C6204" s="116" t="s">
        <v>376</v>
      </c>
      <c r="D6204" s="117" t="s">
        <v>377</v>
      </c>
      <c r="E6204" s="118"/>
      <c r="F6204" s="118"/>
      <c r="G6204" s="165"/>
      <c r="H6204" s="144"/>
      <c r="I6204" s="126"/>
    </row>
    <row r="6205" spans="2:10" ht="15.95" customHeight="1" x14ac:dyDescent="0.25">
      <c r="C6205" s="122"/>
      <c r="D6205" s="117" t="s">
        <v>594</v>
      </c>
      <c r="E6205" s="118"/>
      <c r="F6205" s="239" t="s">
        <v>158</v>
      </c>
      <c r="G6205" s="240">
        <v>1.1000000000000001</v>
      </c>
      <c r="H6205" s="144">
        <f>VLOOKUP(D6205,Bahan,6,FALSE)</f>
        <v>4410000</v>
      </c>
      <c r="I6205" s="126">
        <f>G6205*H6205</f>
        <v>4851000</v>
      </c>
    </row>
    <row r="6206" spans="2:10" ht="15.95" customHeight="1" x14ac:dyDescent="0.25">
      <c r="C6206" s="122"/>
      <c r="D6206" s="117" t="s">
        <v>415</v>
      </c>
      <c r="E6206" s="118"/>
      <c r="F6206" s="239" t="s">
        <v>133</v>
      </c>
      <c r="G6206" s="240">
        <v>15</v>
      </c>
      <c r="H6206" s="144">
        <f>VLOOKUP(D6206,Bahan,6,FALSE)</f>
        <v>12500</v>
      </c>
      <c r="I6206" s="126">
        <f>G6206*H6206</f>
        <v>187500</v>
      </c>
    </row>
    <row r="6207" spans="2:10" ht="15.95" customHeight="1" thickBot="1" x14ac:dyDescent="0.3">
      <c r="C6207" s="122"/>
      <c r="D6207" s="117" t="s">
        <v>613</v>
      </c>
      <c r="E6207" s="118"/>
      <c r="F6207" s="239" t="s">
        <v>133</v>
      </c>
      <c r="G6207" s="240">
        <v>3</v>
      </c>
      <c r="H6207" s="144">
        <f>VLOOKUP(D6207,Bahan,6,FALSE)</f>
        <v>27970</v>
      </c>
      <c r="I6207" s="126">
        <f>G6207*H6207</f>
        <v>83910</v>
      </c>
    </row>
    <row r="6208" spans="2:10" ht="15.95" customHeight="1" thickBot="1" x14ac:dyDescent="0.3">
      <c r="C6208" s="132"/>
      <c r="D6208" s="133"/>
      <c r="E6208" s="134"/>
      <c r="F6208" s="134"/>
      <c r="G6208" s="135" t="s">
        <v>386</v>
      </c>
      <c r="H6208" s="136"/>
      <c r="I6208" s="137">
        <f>SUM(I6205:I6207)</f>
        <v>5122410</v>
      </c>
    </row>
    <row r="6209" spans="2:10" ht="15.95" customHeight="1" thickBot="1" x14ac:dyDescent="0.3">
      <c r="C6209" s="116" t="s">
        <v>387</v>
      </c>
      <c r="D6209" s="117" t="s">
        <v>388</v>
      </c>
      <c r="E6209" s="118"/>
      <c r="F6209" s="118"/>
      <c r="G6209" s="165"/>
      <c r="H6209" s="144">
        <f>IF(AND(D6209&lt;&gt;"",F6209&lt;&gt;""),IF(C6209="",IF(F6209="OH",VLOOKUP(D6209,[1]UPAH!$B$3:$G$32,7,0),VLOOKUP(D6209,[1]BAHAN!$A$2:$D$3,4,0)),0),0)</f>
        <v>0</v>
      </c>
      <c r="I6209" s="126">
        <f>G6209*H6209</f>
        <v>0</v>
      </c>
    </row>
    <row r="6210" spans="2:10" ht="15.95" customHeight="1" thickBot="1" x14ac:dyDescent="0.3">
      <c r="C6210" s="132"/>
      <c r="D6210" s="133"/>
      <c r="E6210" s="134"/>
      <c r="F6210" s="134"/>
      <c r="G6210" s="135" t="s">
        <v>389</v>
      </c>
      <c r="H6210" s="136"/>
      <c r="I6210" s="137">
        <f>I6209</f>
        <v>0</v>
      </c>
    </row>
    <row r="6211" spans="2:10" ht="15.95" customHeight="1" x14ac:dyDescent="0.25">
      <c r="C6211" s="158" t="s">
        <v>390</v>
      </c>
      <c r="D6211" s="159" t="s">
        <v>391</v>
      </c>
      <c r="E6211" s="160"/>
      <c r="F6211" s="160"/>
      <c r="G6211" s="161"/>
      <c r="H6211" s="162">
        <f>IF(AND(D6211&lt;&gt;"",F6211&lt;&gt;""),IF(C6211="",IF(F6211="OH",VLOOKUP(D6211,[1]UPAH!$B$3:$G$32,7,0),VLOOKUP(D6211,[1]BAHAN!$A$2:$D$3,4,0)),0),0)</f>
        <v>0</v>
      </c>
      <c r="I6211" s="126" t="e">
        <f>SUM(I6199:I6210)/2</f>
        <v>#VALUE!</v>
      </c>
    </row>
    <row r="6212" spans="2:10" ht="15.95" customHeight="1" thickBot="1" x14ac:dyDescent="0.3">
      <c r="C6212" s="147" t="s">
        <v>392</v>
      </c>
      <c r="D6212" s="148" t="s">
        <v>393</v>
      </c>
      <c r="E6212" s="149"/>
      <c r="F6212" s="149"/>
      <c r="G6212" s="164">
        <v>0.1</v>
      </c>
      <c r="H6212" s="151"/>
      <c r="I6212" s="146" t="e">
        <f>G6212*I6211</f>
        <v>#VALUE!</v>
      </c>
    </row>
    <row r="6213" spans="2:10" ht="15.95" customHeight="1" thickBot="1" x14ac:dyDescent="0.3">
      <c r="C6213" s="111" t="s">
        <v>394</v>
      </c>
      <c r="D6213" s="112" t="s">
        <v>395</v>
      </c>
      <c r="E6213" s="134"/>
      <c r="F6213" s="134"/>
      <c r="G6213" s="156"/>
      <c r="H6213" s="136">
        <f>IF(AND(D6213&lt;&gt;"",F6213&lt;&gt;""),IF(C6213="",IF(F6213="OH",VLOOKUP(D6213,[1]UPAH!$B$3:$G$32,7,0),VLOOKUP(D6213,[1]BAHAN!$A$2:$D$3,4,0)),0),0)</f>
        <v>0</v>
      </c>
      <c r="I6213" s="137" t="e">
        <f>ROUNDDOWN(I6211+I6212,0)</f>
        <v>#VALUE!</v>
      </c>
    </row>
    <row r="6214" spans="2:10" ht="15.95" customHeight="1" x14ac:dyDescent="0.25">
      <c r="C6214" s="109"/>
      <c r="D6214" s="109"/>
      <c r="G6214" s="157"/>
    </row>
    <row r="6215" spans="2:10" ht="15.95" customHeight="1" thickBot="1" x14ac:dyDescent="0.3">
      <c r="B6215" s="109" t="s">
        <v>1344</v>
      </c>
      <c r="C6215" s="104" t="s">
        <v>1345</v>
      </c>
      <c r="G6215" s="157"/>
      <c r="J6215" s="110">
        <f>I6232</f>
        <v>281730</v>
      </c>
    </row>
    <row r="6216" spans="2:10" ht="15.95" customHeight="1" thickBot="1" x14ac:dyDescent="0.3">
      <c r="C6216" s="111" t="s">
        <v>328</v>
      </c>
      <c r="D6216" s="112" t="s">
        <v>359</v>
      </c>
      <c r="E6216" s="113" t="s">
        <v>360</v>
      </c>
      <c r="F6216" s="113" t="s">
        <v>330</v>
      </c>
      <c r="G6216" s="114" t="s">
        <v>361</v>
      </c>
      <c r="H6216" s="112" t="s">
        <v>362</v>
      </c>
      <c r="I6216" s="115" t="s">
        <v>363</v>
      </c>
    </row>
    <row r="6217" spans="2:10" ht="15.95" customHeight="1" x14ac:dyDescent="0.25">
      <c r="C6217" s="116" t="s">
        <v>364</v>
      </c>
      <c r="D6217" s="117" t="s">
        <v>365</v>
      </c>
      <c r="E6217" s="118"/>
      <c r="F6217" s="118"/>
      <c r="G6217" s="165"/>
      <c r="H6217" s="144"/>
      <c r="I6217" s="126"/>
    </row>
    <row r="6218" spans="2:10" ht="15.95" customHeight="1" x14ac:dyDescent="0.25">
      <c r="C6218" s="122"/>
      <c r="D6218" s="117" t="s">
        <v>366</v>
      </c>
      <c r="E6218" s="123" t="s">
        <v>367</v>
      </c>
      <c r="F6218" s="239" t="s">
        <v>368</v>
      </c>
      <c r="G6218" s="186">
        <v>0.1</v>
      </c>
      <c r="H6218" s="125">
        <f>VLOOKUP(D6218,Upah,8,FALSE)</f>
        <v>125000</v>
      </c>
      <c r="I6218" s="126">
        <f>G6218*H6218</f>
        <v>12500</v>
      </c>
    </row>
    <row r="6219" spans="2:10" ht="15.95" customHeight="1" x14ac:dyDescent="0.25">
      <c r="C6219" s="122"/>
      <c r="D6219" s="117" t="s">
        <v>611</v>
      </c>
      <c r="E6219" s="123" t="s">
        <v>370</v>
      </c>
      <c r="F6219" s="239" t="s">
        <v>368</v>
      </c>
      <c r="G6219" s="186">
        <v>0.1</v>
      </c>
      <c r="H6219" s="125">
        <f>VLOOKUP(D6219,Upah,8,FALSE)</f>
        <v>150000</v>
      </c>
      <c r="I6219" s="126">
        <f>G6219*H6219</f>
        <v>15000</v>
      </c>
    </row>
    <row r="6220" spans="2:10" ht="15.95" customHeight="1" x14ac:dyDescent="0.25">
      <c r="C6220" s="122"/>
      <c r="D6220" s="117" t="s">
        <v>429</v>
      </c>
      <c r="E6220" s="123" t="s">
        <v>372</v>
      </c>
      <c r="F6220" s="239" t="s">
        <v>368</v>
      </c>
      <c r="G6220" s="186">
        <v>0.01</v>
      </c>
      <c r="H6220" s="125">
        <f>VLOOKUP(D6220,Upah,8,FALSE)</f>
        <v>165000</v>
      </c>
      <c r="I6220" s="126">
        <f>G6220*H6220</f>
        <v>1650</v>
      </c>
    </row>
    <row r="6221" spans="2:10" ht="15.95" customHeight="1" thickBot="1" x14ac:dyDescent="0.3">
      <c r="C6221" s="122"/>
      <c r="D6221" s="117" t="s">
        <v>373</v>
      </c>
      <c r="E6221" s="123" t="s">
        <v>374</v>
      </c>
      <c r="F6221" s="239" t="s">
        <v>368</v>
      </c>
      <c r="G6221" s="186">
        <v>5.0000000000000001E-3</v>
      </c>
      <c r="H6221" s="125">
        <f>VLOOKUP(D6221,Upah,8,FALSE)</f>
        <v>170000</v>
      </c>
      <c r="I6221" s="126">
        <f>G6221*H6221</f>
        <v>850</v>
      </c>
    </row>
    <row r="6222" spans="2:10" ht="15.95" customHeight="1" thickBot="1" x14ac:dyDescent="0.3">
      <c r="C6222" s="132"/>
      <c r="D6222" s="133"/>
      <c r="E6222" s="134"/>
      <c r="F6222" s="134"/>
      <c r="G6222" s="135" t="s">
        <v>375</v>
      </c>
      <c r="H6222" s="136"/>
      <c r="I6222" s="137">
        <f>SUM(I6218:I6221)</f>
        <v>30000</v>
      </c>
    </row>
    <row r="6223" spans="2:10" ht="15.95" customHeight="1" x14ac:dyDescent="0.25">
      <c r="C6223" s="116" t="s">
        <v>376</v>
      </c>
      <c r="D6223" s="117" t="s">
        <v>377</v>
      </c>
      <c r="E6223" s="118"/>
      <c r="F6223" s="118"/>
      <c r="G6223" s="165"/>
      <c r="H6223" s="144"/>
      <c r="I6223" s="126"/>
    </row>
    <row r="6224" spans="2:10" ht="15.95" customHeight="1" x14ac:dyDescent="0.25">
      <c r="C6224" s="122"/>
      <c r="D6224" s="117" t="s">
        <v>382</v>
      </c>
      <c r="E6224" s="118"/>
      <c r="F6224" s="239" t="s">
        <v>158</v>
      </c>
      <c r="G6224" s="186">
        <v>1.4E-2</v>
      </c>
      <c r="H6224" s="144">
        <f>VLOOKUP(D6224,Bahan,6,FALSE)</f>
        <v>6765000</v>
      </c>
      <c r="I6224" s="126">
        <f>G6224*H6224</f>
        <v>94710</v>
      </c>
    </row>
    <row r="6225" spans="2:10" ht="15.95" customHeight="1" x14ac:dyDescent="0.25">
      <c r="C6225" s="122"/>
      <c r="D6225" s="117" t="s">
        <v>1346</v>
      </c>
      <c r="E6225" s="118"/>
      <c r="F6225" s="239" t="s">
        <v>158</v>
      </c>
      <c r="G6225" s="186">
        <v>3.5999999999999997E-2</v>
      </c>
      <c r="H6225" s="144">
        <f>VLOOKUP(D6225,Bahan,6,FALSE)</f>
        <v>3456000</v>
      </c>
      <c r="I6225" s="126">
        <f>G6225*H6225</f>
        <v>124415.99999999999</v>
      </c>
    </row>
    <row r="6226" spans="2:10" ht="15.95" customHeight="1" thickBot="1" x14ac:dyDescent="0.3">
      <c r="C6226" s="122"/>
      <c r="D6226" s="117" t="s">
        <v>613</v>
      </c>
      <c r="E6226" s="118"/>
      <c r="F6226" s="239" t="s">
        <v>133</v>
      </c>
      <c r="G6226" s="186">
        <v>0.25</v>
      </c>
      <c r="H6226" s="144">
        <f>VLOOKUP(D6226,Bahan,6,FALSE)</f>
        <v>27970</v>
      </c>
      <c r="I6226" s="126">
        <f>G6226*H6226</f>
        <v>6992.5</v>
      </c>
    </row>
    <row r="6227" spans="2:10" ht="15.95" customHeight="1" thickBot="1" x14ac:dyDescent="0.3">
      <c r="C6227" s="132"/>
      <c r="D6227" s="133"/>
      <c r="E6227" s="134"/>
      <c r="F6227" s="134"/>
      <c r="G6227" s="135" t="s">
        <v>386</v>
      </c>
      <c r="H6227" s="136"/>
      <c r="I6227" s="137">
        <f>SUM(I6224:I6226)</f>
        <v>226118.5</v>
      </c>
    </row>
    <row r="6228" spans="2:10" ht="15.95" customHeight="1" thickBot="1" x14ac:dyDescent="0.3">
      <c r="C6228" s="116" t="s">
        <v>387</v>
      </c>
      <c r="D6228" s="117" t="s">
        <v>388</v>
      </c>
      <c r="E6228" s="118"/>
      <c r="F6228" s="118"/>
      <c r="G6228" s="165"/>
      <c r="H6228" s="144">
        <f>IF(AND(D6228&lt;&gt;"",F6228&lt;&gt;""),IF(C6228="",IF(F6228="OH",VLOOKUP(D6228,[1]UPAH!$B$3:$G$32,7,0),VLOOKUP(D6228,[1]BAHAN!$A$2:$D$3,4,0)),0),0)</f>
        <v>0</v>
      </c>
      <c r="I6228" s="126">
        <f>G6228*H6228</f>
        <v>0</v>
      </c>
    </row>
    <row r="6229" spans="2:10" ht="15.95" customHeight="1" thickBot="1" x14ac:dyDescent="0.3">
      <c r="C6229" s="132"/>
      <c r="D6229" s="133"/>
      <c r="E6229" s="134"/>
      <c r="F6229" s="134"/>
      <c r="G6229" s="135" t="s">
        <v>389</v>
      </c>
      <c r="H6229" s="136"/>
      <c r="I6229" s="137">
        <f>I6228</f>
        <v>0</v>
      </c>
    </row>
    <row r="6230" spans="2:10" ht="15.95" customHeight="1" x14ac:dyDescent="0.25">
      <c r="C6230" s="158" t="s">
        <v>390</v>
      </c>
      <c r="D6230" s="159" t="s">
        <v>391</v>
      </c>
      <c r="E6230" s="160"/>
      <c r="F6230" s="160"/>
      <c r="G6230" s="161"/>
      <c r="H6230" s="162">
        <f>IF(AND(D6230&lt;&gt;"",F6230&lt;&gt;""),IF(C6230="",IF(F6230="OH",VLOOKUP(D6230,[1]UPAH!$B$3:$G$32,7,0),VLOOKUP(D6230,[1]BAHAN!$A$2:$D$3,4,0)),0),0)</f>
        <v>0</v>
      </c>
      <c r="I6230" s="126">
        <f>SUM(I6217:I6229)/2</f>
        <v>256118.5</v>
      </c>
    </row>
    <row r="6231" spans="2:10" ht="15.95" customHeight="1" thickBot="1" x14ac:dyDescent="0.3">
      <c r="C6231" s="147" t="s">
        <v>392</v>
      </c>
      <c r="D6231" s="148" t="s">
        <v>393</v>
      </c>
      <c r="E6231" s="149"/>
      <c r="F6231" s="149"/>
      <c r="G6231" s="164">
        <v>0.1</v>
      </c>
      <c r="H6231" s="151"/>
      <c r="I6231" s="146">
        <f>G6231*I6230</f>
        <v>25611.850000000002</v>
      </c>
    </row>
    <row r="6232" spans="2:10" ht="15.95" customHeight="1" thickBot="1" x14ac:dyDescent="0.3">
      <c r="C6232" s="111" t="s">
        <v>394</v>
      </c>
      <c r="D6232" s="112" t="s">
        <v>395</v>
      </c>
      <c r="E6232" s="134"/>
      <c r="F6232" s="134"/>
      <c r="G6232" s="156"/>
      <c r="H6232" s="136">
        <f>IF(AND(D6232&lt;&gt;"",F6232&lt;&gt;""),IF(C6232="",IF(F6232="OH",VLOOKUP(D6232,[1]UPAH!$B$3:$G$32,7,0),VLOOKUP(D6232,[1]BAHAN!$A$2:$D$3,4,0)),0),0)</f>
        <v>0</v>
      </c>
      <c r="I6232" s="137">
        <f>ROUNDDOWN(I6230+I6231,0)</f>
        <v>281730</v>
      </c>
    </row>
    <row r="6233" spans="2:10" ht="15.95" customHeight="1" x14ac:dyDescent="0.25">
      <c r="C6233" s="109"/>
      <c r="D6233" s="109"/>
      <c r="G6233" s="157"/>
    </row>
    <row r="6234" spans="2:10" ht="15.95" customHeight="1" thickBot="1" x14ac:dyDescent="0.3">
      <c r="B6234" s="109" t="s">
        <v>1347</v>
      </c>
      <c r="C6234" s="104" t="s">
        <v>1348</v>
      </c>
      <c r="G6234" s="157"/>
      <c r="J6234" s="110">
        <f>I6251</f>
        <v>427022</v>
      </c>
    </row>
    <row r="6235" spans="2:10" ht="15.95" customHeight="1" thickBot="1" x14ac:dyDescent="0.3">
      <c r="C6235" s="111" t="s">
        <v>328</v>
      </c>
      <c r="D6235" s="112" t="s">
        <v>359</v>
      </c>
      <c r="E6235" s="113" t="s">
        <v>360</v>
      </c>
      <c r="F6235" s="113" t="s">
        <v>330</v>
      </c>
      <c r="G6235" s="114" t="s">
        <v>361</v>
      </c>
      <c r="H6235" s="112" t="s">
        <v>362</v>
      </c>
      <c r="I6235" s="115" t="s">
        <v>363</v>
      </c>
    </row>
    <row r="6236" spans="2:10" ht="15.95" customHeight="1" x14ac:dyDescent="0.25">
      <c r="C6236" s="116" t="s">
        <v>364</v>
      </c>
      <c r="D6236" s="117" t="s">
        <v>365</v>
      </c>
      <c r="E6236" s="118"/>
      <c r="F6236" s="118"/>
      <c r="G6236" s="165"/>
      <c r="H6236" s="144"/>
      <c r="I6236" s="126"/>
    </row>
    <row r="6237" spans="2:10" ht="15.95" customHeight="1" x14ac:dyDescent="0.25">
      <c r="C6237" s="122"/>
      <c r="D6237" s="117" t="s">
        <v>366</v>
      </c>
      <c r="E6237" s="123" t="s">
        <v>367</v>
      </c>
      <c r="F6237" s="239" t="s">
        <v>368</v>
      </c>
      <c r="G6237" s="186">
        <v>0.1</v>
      </c>
      <c r="H6237" s="125">
        <f>VLOOKUP(D6237,Upah,8,FALSE)</f>
        <v>125000</v>
      </c>
      <c r="I6237" s="126">
        <f>G6237*H6237</f>
        <v>12500</v>
      </c>
    </row>
    <row r="6238" spans="2:10" ht="15.95" customHeight="1" x14ac:dyDescent="0.25">
      <c r="C6238" s="122"/>
      <c r="D6238" s="117" t="s">
        <v>611</v>
      </c>
      <c r="E6238" s="123" t="s">
        <v>370</v>
      </c>
      <c r="F6238" s="239" t="s">
        <v>368</v>
      </c>
      <c r="G6238" s="186">
        <v>0.1</v>
      </c>
      <c r="H6238" s="125">
        <f>VLOOKUP(D6238,Upah,8,FALSE)</f>
        <v>150000</v>
      </c>
      <c r="I6238" s="126">
        <f>G6238*H6238</f>
        <v>15000</v>
      </c>
    </row>
    <row r="6239" spans="2:10" ht="15.95" customHeight="1" x14ac:dyDescent="0.25">
      <c r="C6239" s="122"/>
      <c r="D6239" s="117" t="s">
        <v>429</v>
      </c>
      <c r="E6239" s="123" t="s">
        <v>372</v>
      </c>
      <c r="F6239" s="239" t="s">
        <v>368</v>
      </c>
      <c r="G6239" s="186">
        <v>0.01</v>
      </c>
      <c r="H6239" s="125">
        <f>VLOOKUP(D6239,Upah,8,FALSE)</f>
        <v>165000</v>
      </c>
      <c r="I6239" s="126">
        <f>G6239*H6239</f>
        <v>1650</v>
      </c>
    </row>
    <row r="6240" spans="2:10" ht="15.95" customHeight="1" thickBot="1" x14ac:dyDescent="0.3">
      <c r="C6240" s="122"/>
      <c r="D6240" s="117" t="s">
        <v>373</v>
      </c>
      <c r="E6240" s="123" t="s">
        <v>374</v>
      </c>
      <c r="F6240" s="239" t="s">
        <v>368</v>
      </c>
      <c r="G6240" s="186">
        <v>5.0000000000000001E-3</v>
      </c>
      <c r="H6240" s="125">
        <f>VLOOKUP(D6240,Upah,8,FALSE)</f>
        <v>170000</v>
      </c>
      <c r="I6240" s="126">
        <f>G6240*H6240</f>
        <v>850</v>
      </c>
    </row>
    <row r="6241" spans="2:10" ht="15.95" customHeight="1" thickBot="1" x14ac:dyDescent="0.3">
      <c r="C6241" s="132"/>
      <c r="D6241" s="133"/>
      <c r="E6241" s="134"/>
      <c r="F6241" s="134"/>
      <c r="G6241" s="135" t="s">
        <v>375</v>
      </c>
      <c r="H6241" s="136"/>
      <c r="I6241" s="137">
        <f>SUM(I6237:I6240)</f>
        <v>30000</v>
      </c>
    </row>
    <row r="6242" spans="2:10" ht="15.95" customHeight="1" x14ac:dyDescent="0.25">
      <c r="C6242" s="116" t="s">
        <v>376</v>
      </c>
      <c r="D6242" s="117" t="s">
        <v>377</v>
      </c>
      <c r="E6242" s="118"/>
      <c r="F6242" s="118"/>
      <c r="G6242" s="165"/>
      <c r="H6242" s="144"/>
      <c r="I6242" s="126"/>
    </row>
    <row r="6243" spans="2:10" ht="15.95" customHeight="1" x14ac:dyDescent="0.25">
      <c r="C6243" s="122"/>
      <c r="D6243" s="117" t="s">
        <v>382</v>
      </c>
      <c r="E6243" s="118"/>
      <c r="F6243" s="239" t="s">
        <v>158</v>
      </c>
      <c r="G6243" s="186">
        <v>1.4E-2</v>
      </c>
      <c r="H6243" s="144">
        <f>VLOOKUP(D6243,Bahan,6,FALSE)</f>
        <v>6765000</v>
      </c>
      <c r="I6243" s="126">
        <f>G6243*H6243</f>
        <v>94710</v>
      </c>
    </row>
    <row r="6244" spans="2:10" ht="15.95" customHeight="1" x14ac:dyDescent="0.25">
      <c r="C6244" s="122"/>
      <c r="D6244" s="117" t="s">
        <v>1349</v>
      </c>
      <c r="E6244" s="118"/>
      <c r="F6244" s="239" t="s">
        <v>158</v>
      </c>
      <c r="G6244" s="186">
        <v>5.7000000000000002E-2</v>
      </c>
      <c r="H6244" s="144">
        <f>VLOOKUP(D6244,Bahan,6,FALSE)</f>
        <v>4500000</v>
      </c>
      <c r="I6244" s="126">
        <f>G6244*H6244</f>
        <v>256500</v>
      </c>
    </row>
    <row r="6245" spans="2:10" ht="15.95" customHeight="1" thickBot="1" x14ac:dyDescent="0.3">
      <c r="C6245" s="122"/>
      <c r="D6245" s="117" t="s">
        <v>613</v>
      </c>
      <c r="E6245" s="118"/>
      <c r="F6245" s="239" t="s">
        <v>133</v>
      </c>
      <c r="G6245" s="186">
        <v>0.25</v>
      </c>
      <c r="H6245" s="144">
        <f>VLOOKUP(D6245,Bahan,6,FALSE)</f>
        <v>27970</v>
      </c>
      <c r="I6245" s="126">
        <f>G6245*H6245</f>
        <v>6992.5</v>
      </c>
    </row>
    <row r="6246" spans="2:10" ht="15.95" customHeight="1" thickBot="1" x14ac:dyDescent="0.3">
      <c r="C6246" s="132"/>
      <c r="D6246" s="133"/>
      <c r="E6246" s="134"/>
      <c r="F6246" s="134"/>
      <c r="G6246" s="135" t="s">
        <v>386</v>
      </c>
      <c r="H6246" s="136"/>
      <c r="I6246" s="137">
        <f>SUM(I6243:I6245)</f>
        <v>358202.5</v>
      </c>
    </row>
    <row r="6247" spans="2:10" ht="15.95" customHeight="1" thickBot="1" x14ac:dyDescent="0.3">
      <c r="C6247" s="116" t="s">
        <v>387</v>
      </c>
      <c r="D6247" s="117" t="s">
        <v>388</v>
      </c>
      <c r="E6247" s="118"/>
      <c r="F6247" s="118"/>
      <c r="G6247" s="165"/>
      <c r="H6247" s="144">
        <f>IF(AND(D6247&lt;&gt;"",F6247&lt;&gt;""),IF(C6247="",IF(F6247="OH",VLOOKUP(D6247,[1]UPAH!$B$3:$G$32,7,0),VLOOKUP(D6247,[1]BAHAN!$A$2:$D$3,4,0)),0),0)</f>
        <v>0</v>
      </c>
      <c r="I6247" s="126">
        <f>G6247*H6247</f>
        <v>0</v>
      </c>
    </row>
    <row r="6248" spans="2:10" ht="15.95" customHeight="1" thickBot="1" x14ac:dyDescent="0.3">
      <c r="C6248" s="132"/>
      <c r="D6248" s="133"/>
      <c r="E6248" s="134"/>
      <c r="F6248" s="134"/>
      <c r="G6248" s="135" t="s">
        <v>389</v>
      </c>
      <c r="H6248" s="136"/>
      <c r="I6248" s="137">
        <f>I6247</f>
        <v>0</v>
      </c>
    </row>
    <row r="6249" spans="2:10" ht="15.95" customHeight="1" x14ac:dyDescent="0.25">
      <c r="C6249" s="158" t="s">
        <v>390</v>
      </c>
      <c r="D6249" s="159" t="s">
        <v>391</v>
      </c>
      <c r="E6249" s="160"/>
      <c r="F6249" s="160"/>
      <c r="G6249" s="161"/>
      <c r="H6249" s="162">
        <f>IF(AND(D6249&lt;&gt;"",F6249&lt;&gt;""),IF(C6249="",IF(F6249="OH",VLOOKUP(D6249,[1]UPAH!$B$3:$G$32,7,0),VLOOKUP(D6249,[1]BAHAN!$A$2:$D$3,4,0)),0),0)</f>
        <v>0</v>
      </c>
      <c r="I6249" s="126">
        <f>SUM(I6237:I6248)/2</f>
        <v>388202.5</v>
      </c>
    </row>
    <row r="6250" spans="2:10" ht="15.95" customHeight="1" thickBot="1" x14ac:dyDescent="0.3">
      <c r="C6250" s="147" t="s">
        <v>392</v>
      </c>
      <c r="D6250" s="148" t="s">
        <v>393</v>
      </c>
      <c r="E6250" s="149"/>
      <c r="F6250" s="149"/>
      <c r="G6250" s="164">
        <v>0.1</v>
      </c>
      <c r="H6250" s="151"/>
      <c r="I6250" s="146">
        <f>G6250*I6249</f>
        <v>38820.25</v>
      </c>
    </row>
    <row r="6251" spans="2:10" ht="15.95" customHeight="1" thickBot="1" x14ac:dyDescent="0.3">
      <c r="C6251" s="111" t="s">
        <v>394</v>
      </c>
      <c r="D6251" s="112" t="s">
        <v>395</v>
      </c>
      <c r="E6251" s="134"/>
      <c r="F6251" s="134"/>
      <c r="G6251" s="156"/>
      <c r="H6251" s="136">
        <f>IF(AND(D6251&lt;&gt;"",F6251&lt;&gt;""),IF(C6251="",IF(F6251="OH",VLOOKUP(D6251,[1]UPAH!$B$3:$G$32,7,0),VLOOKUP(D6251,[1]BAHAN!$A$2:$D$3,4,0)),0),0)</f>
        <v>0</v>
      </c>
      <c r="I6251" s="137">
        <f>ROUNDDOWN(I6249+I6250,0)</f>
        <v>427022</v>
      </c>
    </row>
    <row r="6252" spans="2:10" ht="15.95" customHeight="1" x14ac:dyDescent="0.25">
      <c r="C6252" s="109"/>
      <c r="D6252" s="109"/>
      <c r="G6252" s="157"/>
    </row>
    <row r="6253" spans="2:10" ht="15.95" customHeight="1" thickBot="1" x14ac:dyDescent="0.3">
      <c r="B6253" s="109" t="s">
        <v>1350</v>
      </c>
      <c r="C6253" s="104" t="s">
        <v>1351</v>
      </c>
      <c r="G6253" s="157"/>
      <c r="J6253" s="110">
        <f>I6269</f>
        <v>126053</v>
      </c>
    </row>
    <row r="6254" spans="2:10" ht="15.95" customHeight="1" thickBot="1" x14ac:dyDescent="0.3">
      <c r="C6254" s="111" t="s">
        <v>328</v>
      </c>
      <c r="D6254" s="112" t="s">
        <v>359</v>
      </c>
      <c r="E6254" s="113" t="s">
        <v>360</v>
      </c>
      <c r="F6254" s="113" t="s">
        <v>330</v>
      </c>
      <c r="G6254" s="114" t="s">
        <v>361</v>
      </c>
      <c r="H6254" s="112" t="s">
        <v>362</v>
      </c>
      <c r="I6254" s="115" t="s">
        <v>363</v>
      </c>
    </row>
    <row r="6255" spans="2:10" ht="15.95" customHeight="1" x14ac:dyDescent="0.25">
      <c r="C6255" s="116" t="s">
        <v>364</v>
      </c>
      <c r="D6255" s="117" t="s">
        <v>365</v>
      </c>
      <c r="E6255" s="118"/>
      <c r="F6255" s="118"/>
      <c r="G6255" s="165"/>
      <c r="H6255" s="144"/>
      <c r="I6255" s="126"/>
    </row>
    <row r="6256" spans="2:10" ht="15.95" customHeight="1" x14ac:dyDescent="0.25">
      <c r="C6256" s="122"/>
      <c r="D6256" s="117" t="s">
        <v>366</v>
      </c>
      <c r="E6256" s="123" t="s">
        <v>367</v>
      </c>
      <c r="F6256" s="239" t="s">
        <v>368</v>
      </c>
      <c r="G6256" s="186">
        <v>0.12</v>
      </c>
      <c r="H6256" s="125">
        <f>VLOOKUP(D6256,Upah,8,FALSE)</f>
        <v>125000</v>
      </c>
      <c r="I6256" s="126">
        <f>G6256*H6256</f>
        <v>15000</v>
      </c>
    </row>
    <row r="6257" spans="2:10" ht="15.95" customHeight="1" x14ac:dyDescent="0.25">
      <c r="C6257" s="122"/>
      <c r="D6257" s="117" t="s">
        <v>611</v>
      </c>
      <c r="E6257" s="123" t="s">
        <v>370</v>
      </c>
      <c r="F6257" s="239" t="s">
        <v>368</v>
      </c>
      <c r="G6257" s="186">
        <v>0.12</v>
      </c>
      <c r="H6257" s="125">
        <f>VLOOKUP(D6257,Upah,8,FALSE)</f>
        <v>150000</v>
      </c>
      <c r="I6257" s="126">
        <f>G6257*H6257</f>
        <v>18000</v>
      </c>
    </row>
    <row r="6258" spans="2:10" ht="15.95" customHeight="1" x14ac:dyDescent="0.25">
      <c r="C6258" s="122"/>
      <c r="D6258" s="117" t="s">
        <v>429</v>
      </c>
      <c r="E6258" s="123" t="s">
        <v>372</v>
      </c>
      <c r="F6258" s="239" t="s">
        <v>368</v>
      </c>
      <c r="G6258" s="186">
        <v>1.2E-2</v>
      </c>
      <c r="H6258" s="125">
        <f>VLOOKUP(D6258,Upah,8,FALSE)</f>
        <v>165000</v>
      </c>
      <c r="I6258" s="126">
        <f>G6258*H6258</f>
        <v>1980</v>
      </c>
    </row>
    <row r="6259" spans="2:10" ht="15.95" customHeight="1" thickBot="1" x14ac:dyDescent="0.3">
      <c r="C6259" s="122"/>
      <c r="D6259" s="117" t="s">
        <v>373</v>
      </c>
      <c r="E6259" s="123" t="s">
        <v>374</v>
      </c>
      <c r="F6259" s="239" t="s">
        <v>368</v>
      </c>
      <c r="G6259" s="186">
        <v>6.0000000000000001E-3</v>
      </c>
      <c r="H6259" s="125">
        <f>VLOOKUP(D6259,Upah,8,FALSE)</f>
        <v>170000</v>
      </c>
      <c r="I6259" s="126">
        <f>G6259*H6259</f>
        <v>1020</v>
      </c>
    </row>
    <row r="6260" spans="2:10" ht="15.95" customHeight="1" thickBot="1" x14ac:dyDescent="0.3">
      <c r="C6260" s="132"/>
      <c r="D6260" s="133"/>
      <c r="E6260" s="134"/>
      <c r="F6260" s="134"/>
      <c r="G6260" s="135" t="s">
        <v>375</v>
      </c>
      <c r="H6260" s="136"/>
      <c r="I6260" s="137">
        <f>SUM(I6256:I6259)</f>
        <v>36000</v>
      </c>
    </row>
    <row r="6261" spans="2:10" ht="15.95" customHeight="1" x14ac:dyDescent="0.25">
      <c r="C6261" s="116" t="s">
        <v>376</v>
      </c>
      <c r="D6261" s="117" t="s">
        <v>377</v>
      </c>
      <c r="E6261" s="118"/>
      <c r="F6261" s="118"/>
      <c r="G6261" s="165"/>
      <c r="H6261" s="144"/>
      <c r="I6261" s="126"/>
    </row>
    <row r="6262" spans="2:10" ht="15.95" customHeight="1" x14ac:dyDescent="0.25">
      <c r="C6262" s="122"/>
      <c r="D6262" s="117" t="s">
        <v>1352</v>
      </c>
      <c r="E6262" s="118"/>
      <c r="F6262" s="239" t="s">
        <v>158</v>
      </c>
      <c r="G6262" s="186">
        <v>1.4E-2</v>
      </c>
      <c r="H6262" s="144">
        <f>VLOOKUP(D6262,Bahan,6,FALSE)</f>
        <v>5500000</v>
      </c>
      <c r="I6262" s="126">
        <f>G6262*H6262</f>
        <v>77000</v>
      </c>
    </row>
    <row r="6263" spans="2:10" ht="15.95" customHeight="1" thickBot="1" x14ac:dyDescent="0.3">
      <c r="C6263" s="122"/>
      <c r="D6263" s="117" t="s">
        <v>613</v>
      </c>
      <c r="E6263" s="118"/>
      <c r="F6263" s="239" t="s">
        <v>158</v>
      </c>
      <c r="G6263" s="186">
        <v>5.7000000000000002E-2</v>
      </c>
      <c r="H6263" s="144">
        <f>VLOOKUP(D6263,Bahan,6,FALSE)</f>
        <v>27970</v>
      </c>
      <c r="I6263" s="126">
        <f>G6263*H6263</f>
        <v>1594.29</v>
      </c>
    </row>
    <row r="6264" spans="2:10" ht="15.95" customHeight="1" thickBot="1" x14ac:dyDescent="0.3">
      <c r="C6264" s="132"/>
      <c r="D6264" s="133"/>
      <c r="E6264" s="134"/>
      <c r="F6264" s="134"/>
      <c r="G6264" s="135" t="s">
        <v>386</v>
      </c>
      <c r="H6264" s="136"/>
      <c r="I6264" s="137">
        <f>SUM(I6262:I6263)</f>
        <v>78594.289999999994</v>
      </c>
    </row>
    <row r="6265" spans="2:10" ht="15.95" customHeight="1" thickBot="1" x14ac:dyDescent="0.3">
      <c r="C6265" s="116" t="s">
        <v>387</v>
      </c>
      <c r="D6265" s="117" t="s">
        <v>388</v>
      </c>
      <c r="E6265" s="118"/>
      <c r="F6265" s="118"/>
      <c r="G6265" s="165"/>
      <c r="H6265" s="144">
        <f>IF(AND(D6265&lt;&gt;"",F6265&lt;&gt;""),IF(C6265="",IF(F6265="OH",VLOOKUP(D6265,[1]UPAH!$B$3:$G$32,7,0),VLOOKUP(D6265,[1]BAHAN!$A$2:$D$3,4,0)),0),0)</f>
        <v>0</v>
      </c>
      <c r="I6265" s="126">
        <f>G6265*H6265</f>
        <v>0</v>
      </c>
    </row>
    <row r="6266" spans="2:10" ht="15.95" customHeight="1" thickBot="1" x14ac:dyDescent="0.3">
      <c r="C6266" s="132"/>
      <c r="D6266" s="133"/>
      <c r="E6266" s="134"/>
      <c r="F6266" s="134"/>
      <c r="G6266" s="135" t="s">
        <v>389</v>
      </c>
      <c r="H6266" s="136"/>
      <c r="I6266" s="137">
        <f>I6265</f>
        <v>0</v>
      </c>
    </row>
    <row r="6267" spans="2:10" ht="15.95" customHeight="1" x14ac:dyDescent="0.25">
      <c r="C6267" s="158" t="s">
        <v>390</v>
      </c>
      <c r="D6267" s="159" t="s">
        <v>391</v>
      </c>
      <c r="E6267" s="160"/>
      <c r="F6267" s="160"/>
      <c r="G6267" s="161"/>
      <c r="H6267" s="162">
        <f>IF(AND(D6267&lt;&gt;"",F6267&lt;&gt;""),IF(C6267="",IF(F6267="OH",VLOOKUP(D6267,[1]UPAH!$B$3:$G$32,7,0),VLOOKUP(D6267,[1]BAHAN!$A$2:$D$3,4,0)),0),0)</f>
        <v>0</v>
      </c>
      <c r="I6267" s="126">
        <f>SUM(I6256:I6266)/2</f>
        <v>114594.29000000001</v>
      </c>
    </row>
    <row r="6268" spans="2:10" ht="15.95" customHeight="1" thickBot="1" x14ac:dyDescent="0.3">
      <c r="C6268" s="147" t="s">
        <v>392</v>
      </c>
      <c r="D6268" s="148" t="s">
        <v>393</v>
      </c>
      <c r="E6268" s="149"/>
      <c r="F6268" s="149"/>
      <c r="G6268" s="164">
        <v>0.1</v>
      </c>
      <c r="H6268" s="151"/>
      <c r="I6268" s="146">
        <f>G6268*I6267</f>
        <v>11459.429000000002</v>
      </c>
    </row>
    <row r="6269" spans="2:10" ht="15.95" customHeight="1" thickBot="1" x14ac:dyDescent="0.3">
      <c r="C6269" s="111" t="s">
        <v>394</v>
      </c>
      <c r="D6269" s="112" t="s">
        <v>395</v>
      </c>
      <c r="E6269" s="134"/>
      <c r="F6269" s="134"/>
      <c r="G6269" s="156"/>
      <c r="H6269" s="136">
        <f>IF(AND(D6269&lt;&gt;"",F6269&lt;&gt;""),IF(C6269="",IF(F6269="OH",VLOOKUP(D6269,[1]UPAH!$B$3:$G$32,7,0),VLOOKUP(D6269,[1]BAHAN!$A$2:$D$3,4,0)),0),0)</f>
        <v>0</v>
      </c>
      <c r="I6269" s="137">
        <f>ROUNDDOWN(I6267+I6268,0)</f>
        <v>126053</v>
      </c>
    </row>
    <row r="6270" spans="2:10" ht="15.95" customHeight="1" x14ac:dyDescent="0.25">
      <c r="C6270" s="109"/>
      <c r="D6270" s="109"/>
      <c r="G6270" s="157"/>
    </row>
    <row r="6271" spans="2:10" ht="15.95" customHeight="1" thickBot="1" x14ac:dyDescent="0.3">
      <c r="B6271" s="109" t="s">
        <v>1353</v>
      </c>
      <c r="C6271" s="104" t="s">
        <v>1354</v>
      </c>
      <c r="G6271" s="157"/>
      <c r="J6271" s="110">
        <f>I6287</f>
        <v>210347</v>
      </c>
    </row>
    <row r="6272" spans="2:10" ht="15.95" customHeight="1" thickBot="1" x14ac:dyDescent="0.3">
      <c r="C6272" s="111" t="s">
        <v>328</v>
      </c>
      <c r="D6272" s="112" t="s">
        <v>359</v>
      </c>
      <c r="E6272" s="113" t="s">
        <v>360</v>
      </c>
      <c r="F6272" s="113" t="s">
        <v>330</v>
      </c>
      <c r="G6272" s="114" t="s">
        <v>361</v>
      </c>
      <c r="H6272" s="112" t="s">
        <v>362</v>
      </c>
      <c r="I6272" s="115" t="s">
        <v>363</v>
      </c>
    </row>
    <row r="6273" spans="3:9" ht="15.95" customHeight="1" x14ac:dyDescent="0.25">
      <c r="C6273" s="116" t="s">
        <v>364</v>
      </c>
      <c r="D6273" s="117" t="s">
        <v>365</v>
      </c>
      <c r="E6273" s="118"/>
      <c r="F6273" s="118"/>
      <c r="G6273" s="165"/>
      <c r="H6273" s="144"/>
      <c r="I6273" s="126"/>
    </row>
    <row r="6274" spans="3:9" ht="15.95" customHeight="1" x14ac:dyDescent="0.25">
      <c r="C6274" s="122"/>
      <c r="D6274" s="117" t="s">
        <v>366</v>
      </c>
      <c r="E6274" s="123" t="s">
        <v>367</v>
      </c>
      <c r="F6274" s="239" t="s">
        <v>368</v>
      </c>
      <c r="G6274" s="186">
        <v>0.15</v>
      </c>
      <c r="H6274" s="125">
        <f>VLOOKUP(D6274,Upah,8,FALSE)</f>
        <v>125000</v>
      </c>
      <c r="I6274" s="126">
        <f>G6274*H6274</f>
        <v>18750</v>
      </c>
    </row>
    <row r="6275" spans="3:9" ht="15.95" customHeight="1" x14ac:dyDescent="0.25">
      <c r="C6275" s="122"/>
      <c r="D6275" s="117" t="s">
        <v>611</v>
      </c>
      <c r="E6275" s="123" t="s">
        <v>370</v>
      </c>
      <c r="F6275" s="239" t="s">
        <v>368</v>
      </c>
      <c r="G6275" s="186">
        <v>0.3</v>
      </c>
      <c r="H6275" s="125">
        <f>VLOOKUP(D6275,Upah,8,FALSE)</f>
        <v>150000</v>
      </c>
      <c r="I6275" s="126">
        <f>G6275*H6275</f>
        <v>45000</v>
      </c>
    </row>
    <row r="6276" spans="3:9" ht="15.95" customHeight="1" x14ac:dyDescent="0.25">
      <c r="C6276" s="122"/>
      <c r="D6276" s="117" t="s">
        <v>429</v>
      </c>
      <c r="E6276" s="123" t="s">
        <v>372</v>
      </c>
      <c r="F6276" s="239" t="s">
        <v>368</v>
      </c>
      <c r="G6276" s="186">
        <v>0.03</v>
      </c>
      <c r="H6276" s="125">
        <f>VLOOKUP(D6276,Upah,8,FALSE)</f>
        <v>165000</v>
      </c>
      <c r="I6276" s="126">
        <f>G6276*H6276</f>
        <v>4950</v>
      </c>
    </row>
    <row r="6277" spans="3:9" ht="15.95" customHeight="1" thickBot="1" x14ac:dyDescent="0.3">
      <c r="C6277" s="122"/>
      <c r="D6277" s="117" t="s">
        <v>373</v>
      </c>
      <c r="E6277" s="123" t="s">
        <v>374</v>
      </c>
      <c r="F6277" s="239" t="s">
        <v>368</v>
      </c>
      <c r="G6277" s="186">
        <v>7.4999999999999997E-2</v>
      </c>
      <c r="H6277" s="125">
        <f>VLOOKUP(D6277,Upah,8,FALSE)</f>
        <v>170000</v>
      </c>
      <c r="I6277" s="126">
        <f>G6277*H6277</f>
        <v>12750</v>
      </c>
    </row>
    <row r="6278" spans="3:9" ht="15.95" customHeight="1" thickBot="1" x14ac:dyDescent="0.3">
      <c r="C6278" s="132"/>
      <c r="D6278" s="133"/>
      <c r="E6278" s="134"/>
      <c r="F6278" s="134"/>
      <c r="G6278" s="135" t="s">
        <v>375</v>
      </c>
      <c r="H6278" s="136"/>
      <c r="I6278" s="137">
        <f>SUM(I6274:I6277)</f>
        <v>81450</v>
      </c>
    </row>
    <row r="6279" spans="3:9" ht="15.95" customHeight="1" x14ac:dyDescent="0.25">
      <c r="C6279" s="116" t="s">
        <v>376</v>
      </c>
      <c r="D6279" s="117" t="s">
        <v>377</v>
      </c>
      <c r="E6279" s="118"/>
      <c r="F6279" s="118"/>
      <c r="G6279" s="165"/>
      <c r="H6279" s="144"/>
      <c r="I6279" s="126"/>
    </row>
    <row r="6280" spans="3:9" ht="15.95" customHeight="1" x14ac:dyDescent="0.25">
      <c r="C6280" s="122"/>
      <c r="D6280" s="117" t="s">
        <v>382</v>
      </c>
      <c r="E6280" s="118"/>
      <c r="F6280" s="239" t="s">
        <v>158</v>
      </c>
      <c r="G6280" s="186">
        <v>1.54E-2</v>
      </c>
      <c r="H6280" s="144">
        <f>VLOOKUP(D6280,Bahan,6,FALSE)</f>
        <v>6765000</v>
      </c>
      <c r="I6280" s="126">
        <f>G6280*H6280</f>
        <v>104181</v>
      </c>
    </row>
    <row r="6281" spans="3:9" ht="15.95" customHeight="1" thickBot="1" x14ac:dyDescent="0.3">
      <c r="C6281" s="122"/>
      <c r="D6281" s="117" t="s">
        <v>613</v>
      </c>
      <c r="E6281" s="118"/>
      <c r="F6281" s="239" t="s">
        <v>133</v>
      </c>
      <c r="G6281" s="186">
        <v>0.2</v>
      </c>
      <c r="H6281" s="144">
        <f>VLOOKUP(D6281,Bahan,6,FALSE)</f>
        <v>27970</v>
      </c>
      <c r="I6281" s="126">
        <f>G6281*H6281</f>
        <v>5594</v>
      </c>
    </row>
    <row r="6282" spans="3:9" ht="15.95" customHeight="1" thickBot="1" x14ac:dyDescent="0.3">
      <c r="C6282" s="132"/>
      <c r="D6282" s="133"/>
      <c r="E6282" s="134"/>
      <c r="F6282" s="134"/>
      <c r="G6282" s="135" t="s">
        <v>386</v>
      </c>
      <c r="H6282" s="136"/>
      <c r="I6282" s="137">
        <f>SUM(I6280:I6281)</f>
        <v>109775</v>
      </c>
    </row>
    <row r="6283" spans="3:9" ht="15.95" customHeight="1" thickBot="1" x14ac:dyDescent="0.3">
      <c r="C6283" s="116" t="s">
        <v>387</v>
      </c>
      <c r="D6283" s="117" t="s">
        <v>388</v>
      </c>
      <c r="E6283" s="118"/>
      <c r="F6283" s="118"/>
      <c r="G6283" s="165"/>
      <c r="H6283" s="144">
        <f>IF(AND(D6283&lt;&gt;"",F6283&lt;&gt;""),IF(C6283="",IF(F6283="OH",VLOOKUP(D6283,[1]UPAH!$B$3:$G$32,7,0),VLOOKUP(D6283,[1]BAHAN!$A$2:$D$3,4,0)),0),0)</f>
        <v>0</v>
      </c>
      <c r="I6283" s="126">
        <f>G6283*H6283</f>
        <v>0</v>
      </c>
    </row>
    <row r="6284" spans="3:9" ht="15.95" customHeight="1" thickBot="1" x14ac:dyDescent="0.3">
      <c r="C6284" s="132"/>
      <c r="D6284" s="133"/>
      <c r="E6284" s="134"/>
      <c r="F6284" s="134"/>
      <c r="G6284" s="135" t="s">
        <v>389</v>
      </c>
      <c r="H6284" s="136"/>
      <c r="I6284" s="137">
        <f>I6283</f>
        <v>0</v>
      </c>
    </row>
    <row r="6285" spans="3:9" ht="15.95" customHeight="1" x14ac:dyDescent="0.25">
      <c r="C6285" s="158" t="s">
        <v>390</v>
      </c>
      <c r="D6285" s="159" t="s">
        <v>391</v>
      </c>
      <c r="E6285" s="160"/>
      <c r="F6285" s="160"/>
      <c r="G6285" s="161"/>
      <c r="H6285" s="162">
        <f>IF(AND(D6285&lt;&gt;"",F6285&lt;&gt;""),IF(C6285="",IF(F6285="OH",VLOOKUP(D6285,[1]UPAH!$B$3:$G$32,7,0),VLOOKUP(D6285,[1]BAHAN!$A$2:$D$3,4,0)),0),0)</f>
        <v>0</v>
      </c>
      <c r="I6285" s="126">
        <f>SUM(I6274:I6284)/2</f>
        <v>191225</v>
      </c>
    </row>
    <row r="6286" spans="3:9" ht="15.95" customHeight="1" thickBot="1" x14ac:dyDescent="0.3">
      <c r="C6286" s="147" t="s">
        <v>392</v>
      </c>
      <c r="D6286" s="148" t="s">
        <v>393</v>
      </c>
      <c r="E6286" s="149"/>
      <c r="F6286" s="149"/>
      <c r="G6286" s="164">
        <v>0.1</v>
      </c>
      <c r="H6286" s="151"/>
      <c r="I6286" s="146">
        <f>G6286*I6285</f>
        <v>19122.5</v>
      </c>
    </row>
    <row r="6287" spans="3:9" ht="15.95" customHeight="1" thickBot="1" x14ac:dyDescent="0.3">
      <c r="C6287" s="111" t="s">
        <v>394</v>
      </c>
      <c r="D6287" s="112" t="s">
        <v>395</v>
      </c>
      <c r="E6287" s="134"/>
      <c r="F6287" s="134"/>
      <c r="G6287" s="156"/>
      <c r="H6287" s="136">
        <f>IF(AND(D6287&lt;&gt;"",F6287&lt;&gt;""),IF(C6287="",IF(F6287="OH",VLOOKUP(D6287,[1]UPAH!$B$3:$G$32,7,0),VLOOKUP(D6287,[1]BAHAN!$A$2:$D$3,4,0)),0),0)</f>
        <v>0</v>
      </c>
      <c r="I6287" s="137">
        <f>ROUNDDOWN(I6285+I6286,0)</f>
        <v>210347</v>
      </c>
    </row>
    <row r="6288" spans="3:9" ht="15.95" customHeight="1" x14ac:dyDescent="0.25">
      <c r="C6288" s="109"/>
      <c r="D6288" s="109"/>
      <c r="G6288" s="157"/>
    </row>
    <row r="6289" spans="2:10" ht="15.95" customHeight="1" thickBot="1" x14ac:dyDescent="0.3">
      <c r="B6289" s="109" t="s">
        <v>1355</v>
      </c>
      <c r="C6289" s="104" t="s">
        <v>1356</v>
      </c>
      <c r="G6289" s="157"/>
      <c r="J6289" s="110">
        <f>I6305</f>
        <v>213303</v>
      </c>
    </row>
    <row r="6290" spans="2:10" ht="15.95" customHeight="1" thickBot="1" x14ac:dyDescent="0.3">
      <c r="C6290" s="111" t="s">
        <v>328</v>
      </c>
      <c r="D6290" s="112" t="s">
        <v>359</v>
      </c>
      <c r="E6290" s="113" t="s">
        <v>360</v>
      </c>
      <c r="F6290" s="113" t="s">
        <v>330</v>
      </c>
      <c r="G6290" s="114" t="s">
        <v>361</v>
      </c>
      <c r="H6290" s="112" t="s">
        <v>362</v>
      </c>
      <c r="I6290" s="115" t="s">
        <v>363</v>
      </c>
    </row>
    <row r="6291" spans="2:10" ht="15.95" customHeight="1" x14ac:dyDescent="0.25">
      <c r="C6291" s="116" t="s">
        <v>364</v>
      </c>
      <c r="D6291" s="117" t="s">
        <v>365</v>
      </c>
      <c r="E6291" s="118"/>
      <c r="F6291" s="118"/>
      <c r="G6291" s="165"/>
      <c r="H6291" s="144"/>
      <c r="I6291" s="126"/>
    </row>
    <row r="6292" spans="2:10" ht="15.95" customHeight="1" x14ac:dyDescent="0.25">
      <c r="C6292" s="122"/>
      <c r="D6292" s="117" t="s">
        <v>366</v>
      </c>
      <c r="E6292" s="123" t="s">
        <v>367</v>
      </c>
      <c r="F6292" s="239" t="s">
        <v>368</v>
      </c>
      <c r="G6292" s="186">
        <v>0.2</v>
      </c>
      <c r="H6292" s="125">
        <f>VLOOKUP(D6292,Upah,8,FALSE)</f>
        <v>125000</v>
      </c>
      <c r="I6292" s="126">
        <f>G6292*H6292</f>
        <v>25000</v>
      </c>
    </row>
    <row r="6293" spans="2:10" ht="15.95" customHeight="1" x14ac:dyDescent="0.25">
      <c r="C6293" s="122"/>
      <c r="D6293" s="117" t="s">
        <v>611</v>
      </c>
      <c r="E6293" s="123" t="s">
        <v>370</v>
      </c>
      <c r="F6293" s="239" t="s">
        <v>368</v>
      </c>
      <c r="G6293" s="186">
        <v>0.3</v>
      </c>
      <c r="H6293" s="125">
        <f>VLOOKUP(D6293,Upah,8,FALSE)</f>
        <v>150000</v>
      </c>
      <c r="I6293" s="126">
        <f>G6293*H6293</f>
        <v>45000</v>
      </c>
    </row>
    <row r="6294" spans="2:10" ht="15.95" customHeight="1" x14ac:dyDescent="0.25">
      <c r="C6294" s="122"/>
      <c r="D6294" s="117" t="s">
        <v>429</v>
      </c>
      <c r="E6294" s="123" t="s">
        <v>372</v>
      </c>
      <c r="F6294" s="239" t="s">
        <v>368</v>
      </c>
      <c r="G6294" s="186">
        <v>0.03</v>
      </c>
      <c r="H6294" s="125">
        <f>VLOOKUP(D6294,Upah,8,FALSE)</f>
        <v>165000</v>
      </c>
      <c r="I6294" s="126">
        <f>G6294*H6294</f>
        <v>4950</v>
      </c>
    </row>
    <row r="6295" spans="2:10" ht="15.95" customHeight="1" thickBot="1" x14ac:dyDescent="0.3">
      <c r="C6295" s="122"/>
      <c r="D6295" s="117" t="s">
        <v>373</v>
      </c>
      <c r="E6295" s="123" t="s">
        <v>374</v>
      </c>
      <c r="F6295" s="239" t="s">
        <v>368</v>
      </c>
      <c r="G6295" s="186">
        <v>0.01</v>
      </c>
      <c r="H6295" s="125">
        <f>VLOOKUP(D6295,Upah,8,FALSE)</f>
        <v>170000</v>
      </c>
      <c r="I6295" s="126">
        <f>G6295*H6295</f>
        <v>1700</v>
      </c>
    </row>
    <row r="6296" spans="2:10" ht="15.95" customHeight="1" thickBot="1" x14ac:dyDescent="0.3">
      <c r="C6296" s="132"/>
      <c r="D6296" s="133"/>
      <c r="E6296" s="134"/>
      <c r="F6296" s="134"/>
      <c r="G6296" s="135" t="s">
        <v>375</v>
      </c>
      <c r="H6296" s="136"/>
      <c r="I6296" s="137">
        <f>SUM(I6292:I6295)</f>
        <v>76650</v>
      </c>
    </row>
    <row r="6297" spans="2:10" ht="15.95" customHeight="1" x14ac:dyDescent="0.25">
      <c r="C6297" s="116" t="s">
        <v>376</v>
      </c>
      <c r="D6297" s="117" t="s">
        <v>377</v>
      </c>
      <c r="E6297" s="118"/>
      <c r="F6297" s="118"/>
      <c r="G6297" s="165"/>
      <c r="H6297" s="144"/>
      <c r="I6297" s="126"/>
    </row>
    <row r="6298" spans="2:10" ht="15.95" customHeight="1" x14ac:dyDescent="0.25">
      <c r="C6298" s="122"/>
      <c r="D6298" s="117" t="s">
        <v>382</v>
      </c>
      <c r="E6298" s="118"/>
      <c r="F6298" s="239" t="s">
        <v>158</v>
      </c>
      <c r="G6298" s="186">
        <v>1.6299999999999999E-2</v>
      </c>
      <c r="H6298" s="144">
        <f>VLOOKUP(D6298,Bahan,6,FALSE)</f>
        <v>6765000</v>
      </c>
      <c r="I6298" s="126">
        <f>G6298*H6298</f>
        <v>110269.49999999999</v>
      </c>
    </row>
    <row r="6299" spans="2:10" ht="15.95" customHeight="1" thickBot="1" x14ac:dyDescent="0.3">
      <c r="C6299" s="122"/>
      <c r="D6299" s="117" t="s">
        <v>613</v>
      </c>
      <c r="E6299" s="118"/>
      <c r="F6299" s="239" t="s">
        <v>133</v>
      </c>
      <c r="G6299" s="186">
        <v>0.25</v>
      </c>
      <c r="H6299" s="144">
        <f>VLOOKUP(D6299,Bahan,6,FALSE)</f>
        <v>27970</v>
      </c>
      <c r="I6299" s="126">
        <f>G6299*H6299</f>
        <v>6992.5</v>
      </c>
    </row>
    <row r="6300" spans="2:10" ht="15.95" customHeight="1" thickBot="1" x14ac:dyDescent="0.3">
      <c r="C6300" s="132"/>
      <c r="D6300" s="133"/>
      <c r="E6300" s="134"/>
      <c r="F6300" s="134"/>
      <c r="G6300" s="135" t="s">
        <v>386</v>
      </c>
      <c r="H6300" s="136"/>
      <c r="I6300" s="137">
        <f>SUM(I6298:I6299)</f>
        <v>117261.99999999999</v>
      </c>
    </row>
    <row r="6301" spans="2:10" ht="15.95" customHeight="1" thickBot="1" x14ac:dyDescent="0.3">
      <c r="C6301" s="116" t="s">
        <v>387</v>
      </c>
      <c r="D6301" s="117" t="s">
        <v>388</v>
      </c>
      <c r="E6301" s="118"/>
      <c r="F6301" s="118"/>
      <c r="G6301" s="165"/>
      <c r="H6301" s="144">
        <f>IF(AND(D6301&lt;&gt;"",F6301&lt;&gt;""),IF(C6301="",IF(F6301="OH",VLOOKUP(D6301,[1]UPAH!$B$3:$G$32,7,0),VLOOKUP(D6301,[1]BAHAN!$A$2:$D$3,4,0)),0),0)</f>
        <v>0</v>
      </c>
      <c r="I6301" s="126">
        <f>G6301*H6301</f>
        <v>0</v>
      </c>
    </row>
    <row r="6302" spans="2:10" ht="15.95" customHeight="1" thickBot="1" x14ac:dyDescent="0.3">
      <c r="C6302" s="132"/>
      <c r="D6302" s="133"/>
      <c r="E6302" s="134"/>
      <c r="F6302" s="134"/>
      <c r="G6302" s="135" t="s">
        <v>389</v>
      </c>
      <c r="H6302" s="136"/>
      <c r="I6302" s="137">
        <f>I6301</f>
        <v>0</v>
      </c>
    </row>
    <row r="6303" spans="2:10" ht="15.95" customHeight="1" x14ac:dyDescent="0.25">
      <c r="C6303" s="158" t="s">
        <v>390</v>
      </c>
      <c r="D6303" s="159" t="s">
        <v>391</v>
      </c>
      <c r="E6303" s="160"/>
      <c r="F6303" s="160"/>
      <c r="G6303" s="161"/>
      <c r="H6303" s="162">
        <f>IF(AND(D6303&lt;&gt;"",F6303&lt;&gt;""),IF(C6303="",IF(F6303="OH",VLOOKUP(D6303,[1]UPAH!$B$3:$G$32,7,0),VLOOKUP(D6303,[1]BAHAN!$A$2:$D$3,4,0)),0),0)</f>
        <v>0</v>
      </c>
      <c r="I6303" s="126">
        <f>SUM(I6292:I6302)/2</f>
        <v>193912</v>
      </c>
    </row>
    <row r="6304" spans="2:10" ht="15.95" customHeight="1" thickBot="1" x14ac:dyDescent="0.3">
      <c r="C6304" s="147" t="s">
        <v>392</v>
      </c>
      <c r="D6304" s="148" t="s">
        <v>393</v>
      </c>
      <c r="E6304" s="149"/>
      <c r="F6304" s="149"/>
      <c r="G6304" s="164">
        <v>0.1</v>
      </c>
      <c r="H6304" s="151"/>
      <c r="I6304" s="146">
        <f>G6304*I6303</f>
        <v>19391.2</v>
      </c>
    </row>
    <row r="6305" spans="2:10" ht="15.95" customHeight="1" thickBot="1" x14ac:dyDescent="0.3">
      <c r="C6305" s="111" t="s">
        <v>394</v>
      </c>
      <c r="D6305" s="112" t="s">
        <v>395</v>
      </c>
      <c r="E6305" s="134"/>
      <c r="F6305" s="134"/>
      <c r="G6305" s="156"/>
      <c r="H6305" s="136">
        <f>IF(AND(D6305&lt;&gt;"",F6305&lt;&gt;""),IF(C6305="",IF(F6305="OH",VLOOKUP(D6305,[1]UPAH!$B$3:$G$32,7,0),VLOOKUP(D6305,[1]BAHAN!$A$2:$D$3,4,0)),0),0)</f>
        <v>0</v>
      </c>
      <c r="I6305" s="137">
        <f>ROUNDDOWN(I6303+I6304,0)</f>
        <v>213303</v>
      </c>
    </row>
    <row r="6306" spans="2:10" ht="15.95" customHeight="1" x14ac:dyDescent="0.25">
      <c r="C6306" s="109"/>
      <c r="D6306" s="109"/>
      <c r="G6306" s="157"/>
    </row>
    <row r="6307" spans="2:10" ht="15.95" customHeight="1" thickBot="1" x14ac:dyDescent="0.3">
      <c r="B6307" s="247" t="s">
        <v>1357</v>
      </c>
      <c r="C6307" s="104" t="s">
        <v>1358</v>
      </c>
      <c r="G6307" s="157"/>
      <c r="J6307" s="110">
        <f>I6323</f>
        <v>107851</v>
      </c>
    </row>
    <row r="6308" spans="2:10" ht="15.95" customHeight="1" thickBot="1" x14ac:dyDescent="0.3">
      <c r="C6308" s="111" t="s">
        <v>328</v>
      </c>
      <c r="D6308" s="112" t="s">
        <v>359</v>
      </c>
      <c r="E6308" s="113" t="s">
        <v>360</v>
      </c>
      <c r="F6308" s="113" t="s">
        <v>330</v>
      </c>
      <c r="G6308" s="114" t="s">
        <v>361</v>
      </c>
      <c r="H6308" s="112" t="s">
        <v>362</v>
      </c>
      <c r="I6308" s="115" t="s">
        <v>363</v>
      </c>
    </row>
    <row r="6309" spans="2:10" ht="15.95" customHeight="1" x14ac:dyDescent="0.25">
      <c r="C6309" s="116" t="s">
        <v>364</v>
      </c>
      <c r="D6309" s="117" t="s">
        <v>365</v>
      </c>
      <c r="E6309" s="118"/>
      <c r="F6309" s="118"/>
      <c r="G6309" s="165"/>
      <c r="H6309" s="144"/>
      <c r="I6309" s="126"/>
    </row>
    <row r="6310" spans="2:10" ht="15.95" customHeight="1" x14ac:dyDescent="0.25">
      <c r="C6310" s="122"/>
      <c r="D6310" s="117" t="s">
        <v>366</v>
      </c>
      <c r="E6310" s="123" t="s">
        <v>367</v>
      </c>
      <c r="F6310" s="239" t="s">
        <v>368</v>
      </c>
      <c r="G6310" s="186">
        <v>0.1</v>
      </c>
      <c r="H6310" s="125">
        <f>VLOOKUP(D6310,Upah,8,FALSE)</f>
        <v>125000</v>
      </c>
      <c r="I6310" s="126">
        <f>G6310*H6310</f>
        <v>12500</v>
      </c>
    </row>
    <row r="6311" spans="2:10" ht="15.95" customHeight="1" x14ac:dyDescent="0.25">
      <c r="C6311" s="122"/>
      <c r="D6311" s="117" t="s">
        <v>611</v>
      </c>
      <c r="E6311" s="123" t="s">
        <v>370</v>
      </c>
      <c r="F6311" s="239" t="s">
        <v>368</v>
      </c>
      <c r="G6311" s="186">
        <v>0.2</v>
      </c>
      <c r="H6311" s="125">
        <f>VLOOKUP(D6311,Upah,8,FALSE)</f>
        <v>150000</v>
      </c>
      <c r="I6311" s="126">
        <f>G6311*H6311</f>
        <v>30000</v>
      </c>
    </row>
    <row r="6312" spans="2:10" ht="15.95" customHeight="1" x14ac:dyDescent="0.25">
      <c r="C6312" s="122"/>
      <c r="D6312" s="117" t="s">
        <v>429</v>
      </c>
      <c r="E6312" s="123" t="s">
        <v>372</v>
      </c>
      <c r="F6312" s="239" t="s">
        <v>368</v>
      </c>
      <c r="G6312" s="186">
        <v>0.02</v>
      </c>
      <c r="H6312" s="125">
        <f>VLOOKUP(D6312,Upah,8,FALSE)</f>
        <v>165000</v>
      </c>
      <c r="I6312" s="126">
        <f>G6312*H6312</f>
        <v>3300</v>
      </c>
    </row>
    <row r="6313" spans="2:10" ht="15.95" customHeight="1" thickBot="1" x14ac:dyDescent="0.3">
      <c r="C6313" s="122"/>
      <c r="D6313" s="117" t="s">
        <v>373</v>
      </c>
      <c r="E6313" s="123" t="s">
        <v>374</v>
      </c>
      <c r="F6313" s="239" t="s">
        <v>368</v>
      </c>
      <c r="G6313" s="186">
        <v>5.0000000000000001E-3</v>
      </c>
      <c r="H6313" s="125">
        <f>VLOOKUP(D6313,Upah,8,FALSE)</f>
        <v>170000</v>
      </c>
      <c r="I6313" s="126">
        <f>G6313*H6313</f>
        <v>850</v>
      </c>
    </row>
    <row r="6314" spans="2:10" ht="15.95" customHeight="1" thickBot="1" x14ac:dyDescent="0.3">
      <c r="C6314" s="132"/>
      <c r="D6314" s="133"/>
      <c r="E6314" s="134"/>
      <c r="F6314" s="134"/>
      <c r="G6314" s="135" t="s">
        <v>375</v>
      </c>
      <c r="H6314" s="136"/>
      <c r="I6314" s="137">
        <f>SUM(I6310:I6313)</f>
        <v>46650</v>
      </c>
    </row>
    <row r="6315" spans="2:10" ht="15.95" customHeight="1" x14ac:dyDescent="0.25">
      <c r="C6315" s="116" t="s">
        <v>376</v>
      </c>
      <c r="D6315" s="117" t="s">
        <v>377</v>
      </c>
      <c r="E6315" s="118"/>
      <c r="F6315" s="118"/>
      <c r="G6315" s="165"/>
      <c r="H6315" s="144"/>
      <c r="I6315" s="126"/>
    </row>
    <row r="6316" spans="2:10" ht="15.95" customHeight="1" x14ac:dyDescent="0.25">
      <c r="C6316" s="122"/>
      <c r="D6316" s="117" t="s">
        <v>1330</v>
      </c>
      <c r="E6316" s="118"/>
      <c r="F6316" s="239" t="s">
        <v>158</v>
      </c>
      <c r="G6316" s="186">
        <v>1.0800000000000001E-2</v>
      </c>
      <c r="H6316" s="144">
        <f>VLOOKUP(D6316,Bahan,6,FALSE)</f>
        <v>4500000</v>
      </c>
      <c r="I6316" s="126">
        <f>G6316*H6316</f>
        <v>48600</v>
      </c>
    </row>
    <row r="6317" spans="2:10" ht="15.95" customHeight="1" thickBot="1" x14ac:dyDescent="0.3">
      <c r="C6317" s="122"/>
      <c r="D6317" s="117" t="s">
        <v>613</v>
      </c>
      <c r="E6317" s="118"/>
      <c r="F6317" s="239" t="s">
        <v>133</v>
      </c>
      <c r="G6317" s="186">
        <v>0.1</v>
      </c>
      <c r="H6317" s="144">
        <f>VLOOKUP(D6317,Bahan,6,FALSE)</f>
        <v>27970</v>
      </c>
      <c r="I6317" s="126">
        <f>G6317*H6317</f>
        <v>2797</v>
      </c>
    </row>
    <row r="6318" spans="2:10" ht="15.95" customHeight="1" thickBot="1" x14ac:dyDescent="0.3">
      <c r="C6318" s="132"/>
      <c r="D6318" s="133"/>
      <c r="E6318" s="134"/>
      <c r="F6318" s="134"/>
      <c r="G6318" s="135" t="s">
        <v>386</v>
      </c>
      <c r="H6318" s="136"/>
      <c r="I6318" s="137">
        <f>SUM(I6316:I6317)</f>
        <v>51397</v>
      </c>
    </row>
    <row r="6319" spans="2:10" ht="15.95" customHeight="1" thickBot="1" x14ac:dyDescent="0.3">
      <c r="C6319" s="116" t="s">
        <v>387</v>
      </c>
      <c r="D6319" s="117" t="s">
        <v>388</v>
      </c>
      <c r="E6319" s="118"/>
      <c r="F6319" s="118"/>
      <c r="G6319" s="165"/>
      <c r="H6319" s="144">
        <f>IF(AND(D6319&lt;&gt;"",F6319&lt;&gt;""),IF(C6319="",IF(F6319="OH",VLOOKUP(D6319,[1]UPAH!$B$3:$G$32,7,0),VLOOKUP(D6319,[1]BAHAN!$A$2:$D$3,4,0)),0),0)</f>
        <v>0</v>
      </c>
      <c r="I6319" s="126">
        <f>G6319*H6319</f>
        <v>0</v>
      </c>
    </row>
    <row r="6320" spans="2:10" ht="15.95" customHeight="1" thickBot="1" x14ac:dyDescent="0.3">
      <c r="C6320" s="132"/>
      <c r="D6320" s="133"/>
      <c r="E6320" s="134"/>
      <c r="F6320" s="134"/>
      <c r="G6320" s="135" t="s">
        <v>389</v>
      </c>
      <c r="H6320" s="136"/>
      <c r="I6320" s="137">
        <f>I6319</f>
        <v>0</v>
      </c>
    </row>
    <row r="6321" spans="2:10" ht="15.95" customHeight="1" x14ac:dyDescent="0.25">
      <c r="C6321" s="158" t="s">
        <v>390</v>
      </c>
      <c r="D6321" s="159" t="s">
        <v>391</v>
      </c>
      <c r="E6321" s="160"/>
      <c r="F6321" s="160"/>
      <c r="G6321" s="161"/>
      <c r="H6321" s="162">
        <f>IF(AND(D6321&lt;&gt;"",F6321&lt;&gt;""),IF(C6321="",IF(F6321="OH",VLOOKUP(D6321,[1]UPAH!$B$3:$G$32,7,0),VLOOKUP(D6321,[1]BAHAN!$A$2:$D$3,4,0)),0),0)</f>
        <v>0</v>
      </c>
      <c r="I6321" s="126">
        <f>SUM(I6310:I6320)/2</f>
        <v>98047</v>
      </c>
    </row>
    <row r="6322" spans="2:10" ht="15.95" customHeight="1" thickBot="1" x14ac:dyDescent="0.3">
      <c r="C6322" s="147" t="s">
        <v>392</v>
      </c>
      <c r="D6322" s="148" t="s">
        <v>393</v>
      </c>
      <c r="E6322" s="149"/>
      <c r="F6322" s="149"/>
      <c r="G6322" s="164">
        <v>0.1</v>
      </c>
      <c r="H6322" s="151"/>
      <c r="I6322" s="146">
        <f>G6322*I6321</f>
        <v>9804.7000000000007</v>
      </c>
    </row>
    <row r="6323" spans="2:10" ht="15.95" customHeight="1" thickBot="1" x14ac:dyDescent="0.3">
      <c r="C6323" s="111" t="s">
        <v>394</v>
      </c>
      <c r="D6323" s="112" t="s">
        <v>395</v>
      </c>
      <c r="E6323" s="134"/>
      <c r="F6323" s="134"/>
      <c r="G6323" s="156"/>
      <c r="H6323" s="136">
        <f>IF(AND(D6323&lt;&gt;"",F6323&lt;&gt;""),IF(C6323="",IF(F6323="OH",VLOOKUP(D6323,[1]UPAH!$B$3:$G$32,7,0),VLOOKUP(D6323,[1]BAHAN!$A$2:$D$3,4,0)),0),0)</f>
        <v>0</v>
      </c>
      <c r="I6323" s="137">
        <f>ROUNDDOWN(I6321+I6322,0)</f>
        <v>107851</v>
      </c>
    </row>
    <row r="6324" spans="2:10" ht="15.95" customHeight="1" x14ac:dyDescent="0.25">
      <c r="C6324" s="109"/>
      <c r="D6324" s="109"/>
      <c r="G6324" s="157"/>
    </row>
    <row r="6325" spans="2:10" ht="15.95" customHeight="1" thickBot="1" x14ac:dyDescent="0.3">
      <c r="B6325" s="109" t="s">
        <v>1359</v>
      </c>
      <c r="C6325" s="104" t="s">
        <v>1360</v>
      </c>
      <c r="G6325" s="157"/>
      <c r="J6325" s="110">
        <f>I6341</f>
        <v>107303</v>
      </c>
    </row>
    <row r="6326" spans="2:10" ht="15.95" customHeight="1" thickBot="1" x14ac:dyDescent="0.3">
      <c r="C6326" s="111" t="s">
        <v>328</v>
      </c>
      <c r="D6326" s="112" t="s">
        <v>359</v>
      </c>
      <c r="E6326" s="113" t="s">
        <v>360</v>
      </c>
      <c r="F6326" s="113" t="s">
        <v>330</v>
      </c>
      <c r="G6326" s="114" t="s">
        <v>361</v>
      </c>
      <c r="H6326" s="112" t="s">
        <v>362</v>
      </c>
      <c r="I6326" s="115" t="s">
        <v>363</v>
      </c>
    </row>
    <row r="6327" spans="2:10" ht="15.95" customHeight="1" x14ac:dyDescent="0.25">
      <c r="C6327" s="116" t="s">
        <v>364</v>
      </c>
      <c r="D6327" s="117" t="s">
        <v>365</v>
      </c>
      <c r="E6327" s="118"/>
      <c r="F6327" s="118"/>
      <c r="G6327" s="165"/>
      <c r="H6327" s="144"/>
      <c r="I6327" s="126"/>
    </row>
    <row r="6328" spans="2:10" ht="15.95" customHeight="1" x14ac:dyDescent="0.25">
      <c r="C6328" s="122"/>
      <c r="D6328" s="117" t="s">
        <v>366</v>
      </c>
      <c r="E6328" s="123" t="s">
        <v>367</v>
      </c>
      <c r="F6328" s="239" t="s">
        <v>368</v>
      </c>
      <c r="G6328" s="186">
        <v>0.1</v>
      </c>
      <c r="H6328" s="125">
        <f>VLOOKUP(D6328,Upah,8,FALSE)</f>
        <v>125000</v>
      </c>
      <c r="I6328" s="126">
        <f>G6328*H6328</f>
        <v>12500</v>
      </c>
    </row>
    <row r="6329" spans="2:10" ht="15.95" customHeight="1" x14ac:dyDescent="0.25">
      <c r="C6329" s="122"/>
      <c r="D6329" s="117" t="s">
        <v>611</v>
      </c>
      <c r="E6329" s="123" t="s">
        <v>370</v>
      </c>
      <c r="F6329" s="239" t="s">
        <v>368</v>
      </c>
      <c r="G6329" s="186">
        <v>0.2</v>
      </c>
      <c r="H6329" s="125">
        <f>VLOOKUP(D6329,Upah,8,FALSE)</f>
        <v>150000</v>
      </c>
      <c r="I6329" s="126">
        <f>G6329*H6329</f>
        <v>30000</v>
      </c>
    </row>
    <row r="6330" spans="2:10" ht="15.95" customHeight="1" x14ac:dyDescent="0.25">
      <c r="C6330" s="122"/>
      <c r="D6330" s="117" t="s">
        <v>429</v>
      </c>
      <c r="E6330" s="123" t="s">
        <v>372</v>
      </c>
      <c r="F6330" s="239" t="s">
        <v>368</v>
      </c>
      <c r="G6330" s="186">
        <v>0.02</v>
      </c>
      <c r="H6330" s="125">
        <f>VLOOKUP(D6330,Upah,8,FALSE)</f>
        <v>165000</v>
      </c>
      <c r="I6330" s="126">
        <f>G6330*H6330</f>
        <v>3300</v>
      </c>
    </row>
    <row r="6331" spans="2:10" ht="15.95" customHeight="1" thickBot="1" x14ac:dyDescent="0.3">
      <c r="C6331" s="122"/>
      <c r="D6331" s="117" t="s">
        <v>373</v>
      </c>
      <c r="E6331" s="123" t="s">
        <v>374</v>
      </c>
      <c r="F6331" s="239" t="s">
        <v>368</v>
      </c>
      <c r="G6331" s="186">
        <v>5.0000000000000001E-3</v>
      </c>
      <c r="H6331" s="125">
        <f>VLOOKUP(D6331,Upah,8,FALSE)</f>
        <v>170000</v>
      </c>
      <c r="I6331" s="126">
        <f>G6331*H6331</f>
        <v>850</v>
      </c>
    </row>
    <row r="6332" spans="2:10" ht="15.95" customHeight="1" thickBot="1" x14ac:dyDescent="0.3">
      <c r="C6332" s="132"/>
      <c r="D6332" s="133"/>
      <c r="E6332" s="134"/>
      <c r="F6332" s="134"/>
      <c r="G6332" s="135" t="s">
        <v>375</v>
      </c>
      <c r="H6332" s="136"/>
      <c r="I6332" s="137">
        <f>SUM(I6328:I6331)</f>
        <v>46650</v>
      </c>
    </row>
    <row r="6333" spans="2:10" ht="15.95" customHeight="1" x14ac:dyDescent="0.25">
      <c r="C6333" s="116" t="s">
        <v>376</v>
      </c>
      <c r="D6333" s="117" t="s">
        <v>377</v>
      </c>
      <c r="E6333" s="118"/>
      <c r="F6333" s="118"/>
      <c r="G6333" s="165"/>
      <c r="H6333" s="144"/>
      <c r="I6333" s="126"/>
    </row>
    <row r="6334" spans="2:10" ht="15.95" customHeight="1" x14ac:dyDescent="0.25">
      <c r="C6334" s="122"/>
      <c r="D6334" s="117" t="s">
        <v>1330</v>
      </c>
      <c r="E6334" s="118"/>
      <c r="F6334" s="239" t="s">
        <v>158</v>
      </c>
      <c r="G6334" s="186">
        <v>1.0999999999999999E-2</v>
      </c>
      <c r="H6334" s="144">
        <f>VLOOKUP(D6334,Bahan,6,FALSE)</f>
        <v>4500000</v>
      </c>
      <c r="I6334" s="126">
        <f>G6334*H6334</f>
        <v>49500</v>
      </c>
    </row>
    <row r="6335" spans="2:10" ht="15.95" customHeight="1" thickBot="1" x14ac:dyDescent="0.3">
      <c r="C6335" s="122"/>
      <c r="D6335" s="117" t="s">
        <v>613</v>
      </c>
      <c r="E6335" s="118"/>
      <c r="F6335" s="239" t="s">
        <v>133</v>
      </c>
      <c r="G6335" s="186">
        <v>0.05</v>
      </c>
      <c r="H6335" s="144">
        <f>VLOOKUP(D6335,Bahan,6,FALSE)</f>
        <v>27970</v>
      </c>
      <c r="I6335" s="126">
        <f>G6335*H6335</f>
        <v>1398.5</v>
      </c>
    </row>
    <row r="6336" spans="2:10" ht="15.95" customHeight="1" thickBot="1" x14ac:dyDescent="0.3">
      <c r="C6336" s="132"/>
      <c r="D6336" s="133"/>
      <c r="E6336" s="134"/>
      <c r="F6336" s="134"/>
      <c r="G6336" s="135" t="s">
        <v>386</v>
      </c>
      <c r="H6336" s="136"/>
      <c r="I6336" s="137">
        <f>SUM(I6334:I6335)</f>
        <v>50898.5</v>
      </c>
    </row>
    <row r="6337" spans="2:10" ht="15.95" customHeight="1" thickBot="1" x14ac:dyDescent="0.3">
      <c r="C6337" s="116" t="s">
        <v>387</v>
      </c>
      <c r="D6337" s="117" t="s">
        <v>388</v>
      </c>
      <c r="E6337" s="118"/>
      <c r="F6337" s="118"/>
      <c r="G6337" s="165"/>
      <c r="H6337" s="144">
        <f>IF(AND(D6337&lt;&gt;"",F6337&lt;&gt;""),IF(C6337="",IF(F6337="OH",VLOOKUP(D6337,[1]UPAH!$B$3:$G$32,7,0),VLOOKUP(D6337,[1]BAHAN!$A$2:$D$3,4,0)),0),0)</f>
        <v>0</v>
      </c>
      <c r="I6337" s="126">
        <f>G6337*H6337</f>
        <v>0</v>
      </c>
    </row>
    <row r="6338" spans="2:10" ht="15.95" customHeight="1" thickBot="1" x14ac:dyDescent="0.3">
      <c r="C6338" s="132"/>
      <c r="D6338" s="133"/>
      <c r="E6338" s="134"/>
      <c r="F6338" s="134"/>
      <c r="G6338" s="135" t="s">
        <v>389</v>
      </c>
      <c r="H6338" s="136"/>
      <c r="I6338" s="137">
        <f>I6337</f>
        <v>0</v>
      </c>
    </row>
    <row r="6339" spans="2:10" ht="15.95" customHeight="1" x14ac:dyDescent="0.25">
      <c r="C6339" s="158" t="s">
        <v>390</v>
      </c>
      <c r="D6339" s="159" t="s">
        <v>391</v>
      </c>
      <c r="E6339" s="160"/>
      <c r="F6339" s="160"/>
      <c r="G6339" s="161"/>
      <c r="H6339" s="162">
        <f>IF(AND(D6339&lt;&gt;"",F6339&lt;&gt;""),IF(C6339="",IF(F6339="OH",VLOOKUP(D6339,[1]UPAH!$B$3:$G$32,7,0),VLOOKUP(D6339,[1]BAHAN!$A$2:$D$3,4,0)),0),0)</f>
        <v>0</v>
      </c>
      <c r="I6339" s="126">
        <f>SUM(I6328:I6338)/2</f>
        <v>97548.5</v>
      </c>
    </row>
    <row r="6340" spans="2:10" ht="15.95" customHeight="1" thickBot="1" x14ac:dyDescent="0.3">
      <c r="C6340" s="147" t="s">
        <v>392</v>
      </c>
      <c r="D6340" s="148" t="s">
        <v>393</v>
      </c>
      <c r="E6340" s="149"/>
      <c r="F6340" s="149"/>
      <c r="G6340" s="164">
        <v>0.1</v>
      </c>
      <c r="H6340" s="151"/>
      <c r="I6340" s="146">
        <f>G6340*I6339</f>
        <v>9754.85</v>
      </c>
    </row>
    <row r="6341" spans="2:10" ht="15.95" customHeight="1" thickBot="1" x14ac:dyDescent="0.3">
      <c r="C6341" s="111" t="s">
        <v>394</v>
      </c>
      <c r="D6341" s="112" t="s">
        <v>395</v>
      </c>
      <c r="E6341" s="134"/>
      <c r="F6341" s="134"/>
      <c r="G6341" s="156"/>
      <c r="H6341" s="136">
        <f>IF(AND(D6341&lt;&gt;"",F6341&lt;&gt;""),IF(C6341="",IF(F6341="OH",VLOOKUP(D6341,[1]UPAH!$B$3:$G$32,7,0),VLOOKUP(D6341,[1]BAHAN!$A$2:$D$3,4,0)),0),0)</f>
        <v>0</v>
      </c>
      <c r="I6341" s="137">
        <f>ROUNDDOWN(I6339+I6340,0)</f>
        <v>107303</v>
      </c>
    </row>
    <row r="6342" spans="2:10" ht="15.95" customHeight="1" x14ac:dyDescent="0.25">
      <c r="C6342" s="109"/>
      <c r="D6342" s="109"/>
      <c r="G6342" s="157"/>
    </row>
    <row r="6343" spans="2:10" ht="15.95" customHeight="1" thickBot="1" x14ac:dyDescent="0.3">
      <c r="B6343" s="109" t="s">
        <v>1361</v>
      </c>
      <c r="C6343" s="104" t="s">
        <v>1362</v>
      </c>
      <c r="G6343" s="157"/>
      <c r="J6343" s="110">
        <f>I6359</f>
        <v>244981</v>
      </c>
    </row>
    <row r="6344" spans="2:10" ht="15.95" customHeight="1" thickBot="1" x14ac:dyDescent="0.3">
      <c r="C6344" s="111" t="s">
        <v>328</v>
      </c>
      <c r="D6344" s="112" t="s">
        <v>359</v>
      </c>
      <c r="E6344" s="113" t="s">
        <v>360</v>
      </c>
      <c r="F6344" s="113" t="s">
        <v>330</v>
      </c>
      <c r="G6344" s="114" t="s">
        <v>361</v>
      </c>
      <c r="H6344" s="112" t="s">
        <v>362</v>
      </c>
      <c r="I6344" s="115" t="s">
        <v>363</v>
      </c>
    </row>
    <row r="6345" spans="2:10" ht="15.95" customHeight="1" x14ac:dyDescent="0.25">
      <c r="C6345" s="116" t="s">
        <v>364</v>
      </c>
      <c r="D6345" s="117" t="s">
        <v>365</v>
      </c>
      <c r="E6345" s="118"/>
      <c r="F6345" s="118"/>
      <c r="G6345" s="165"/>
      <c r="H6345" s="144"/>
      <c r="I6345" s="126"/>
    </row>
    <row r="6346" spans="2:10" ht="15.95" customHeight="1" x14ac:dyDescent="0.25">
      <c r="C6346" s="122"/>
      <c r="D6346" s="117" t="s">
        <v>366</v>
      </c>
      <c r="E6346" s="123" t="s">
        <v>367</v>
      </c>
      <c r="F6346" s="239" t="s">
        <v>368</v>
      </c>
      <c r="G6346" s="186">
        <v>0.15</v>
      </c>
      <c r="H6346" s="125">
        <f>VLOOKUP(D6346,Upah,8,FALSE)</f>
        <v>125000</v>
      </c>
      <c r="I6346" s="126">
        <f>G6346*H6346</f>
        <v>18750</v>
      </c>
    </row>
    <row r="6347" spans="2:10" ht="15.95" customHeight="1" x14ac:dyDescent="0.25">
      <c r="C6347" s="122"/>
      <c r="D6347" s="117" t="s">
        <v>611</v>
      </c>
      <c r="E6347" s="123" t="s">
        <v>370</v>
      </c>
      <c r="F6347" s="239" t="s">
        <v>368</v>
      </c>
      <c r="G6347" s="186">
        <v>0.45</v>
      </c>
      <c r="H6347" s="125">
        <f>VLOOKUP(D6347,Upah,8,FALSE)</f>
        <v>150000</v>
      </c>
      <c r="I6347" s="126">
        <f>G6347*H6347</f>
        <v>67500</v>
      </c>
    </row>
    <row r="6348" spans="2:10" ht="15.95" customHeight="1" x14ac:dyDescent="0.25">
      <c r="C6348" s="122"/>
      <c r="D6348" s="117" t="s">
        <v>429</v>
      </c>
      <c r="E6348" s="123" t="s">
        <v>372</v>
      </c>
      <c r="F6348" s="239" t="s">
        <v>368</v>
      </c>
      <c r="G6348" s="186">
        <v>4.4999999999999998E-2</v>
      </c>
      <c r="H6348" s="125">
        <f>VLOOKUP(D6348,Upah,8,FALSE)</f>
        <v>165000</v>
      </c>
      <c r="I6348" s="126">
        <f>G6348*H6348</f>
        <v>7425</v>
      </c>
    </row>
    <row r="6349" spans="2:10" ht="15.95" customHeight="1" thickBot="1" x14ac:dyDescent="0.3">
      <c r="C6349" s="122"/>
      <c r="D6349" s="117" t="s">
        <v>373</v>
      </c>
      <c r="E6349" s="123" t="s">
        <v>374</v>
      </c>
      <c r="F6349" s="239" t="s">
        <v>368</v>
      </c>
      <c r="G6349" s="186">
        <v>8.0000000000000002E-3</v>
      </c>
      <c r="H6349" s="125">
        <f>VLOOKUP(D6349,Upah,8,FALSE)</f>
        <v>170000</v>
      </c>
      <c r="I6349" s="126">
        <f>G6349*H6349</f>
        <v>1360</v>
      </c>
    </row>
    <row r="6350" spans="2:10" ht="15.95" customHeight="1" thickBot="1" x14ac:dyDescent="0.3">
      <c r="C6350" s="132"/>
      <c r="D6350" s="133"/>
      <c r="E6350" s="134"/>
      <c r="F6350" s="134"/>
      <c r="G6350" s="135" t="s">
        <v>375</v>
      </c>
      <c r="H6350" s="136"/>
      <c r="I6350" s="137">
        <f>SUM(I6346:I6349)</f>
        <v>95035</v>
      </c>
    </row>
    <row r="6351" spans="2:10" ht="15.95" customHeight="1" x14ac:dyDescent="0.25">
      <c r="C6351" s="116" t="s">
        <v>376</v>
      </c>
      <c r="D6351" s="117" t="s">
        <v>377</v>
      </c>
      <c r="E6351" s="118"/>
      <c r="F6351" s="118"/>
      <c r="G6351" s="165"/>
      <c r="H6351" s="144"/>
      <c r="I6351" s="126"/>
    </row>
    <row r="6352" spans="2:10" ht="15.95" customHeight="1" x14ac:dyDescent="0.25">
      <c r="C6352" s="122"/>
      <c r="D6352" s="117" t="s">
        <v>594</v>
      </c>
      <c r="E6352" s="118"/>
      <c r="F6352" s="239" t="s">
        <v>158</v>
      </c>
      <c r="G6352" s="186">
        <v>2.8000000000000001E-2</v>
      </c>
      <c r="H6352" s="144">
        <f>VLOOKUP(D6352,Bahan,6,FALSE)</f>
        <v>4410000</v>
      </c>
      <c r="I6352" s="126">
        <f>G6352*H6352</f>
        <v>123480</v>
      </c>
    </row>
    <row r="6353" spans="2:10" ht="15.95" customHeight="1" thickBot="1" x14ac:dyDescent="0.3">
      <c r="C6353" s="122"/>
      <c r="D6353" s="117" t="s">
        <v>613</v>
      </c>
      <c r="E6353" s="118"/>
      <c r="F6353" s="239" t="s">
        <v>133</v>
      </c>
      <c r="G6353" s="186">
        <v>0.15</v>
      </c>
      <c r="H6353" s="144">
        <f>VLOOKUP(D6353,Bahan,6,FALSE)</f>
        <v>27970</v>
      </c>
      <c r="I6353" s="126">
        <f>G6353*H6353</f>
        <v>4195.5</v>
      </c>
    </row>
    <row r="6354" spans="2:10" ht="15.95" customHeight="1" thickBot="1" x14ac:dyDescent="0.3">
      <c r="C6354" s="132"/>
      <c r="D6354" s="133"/>
      <c r="E6354" s="134"/>
      <c r="F6354" s="134"/>
      <c r="G6354" s="135" t="s">
        <v>386</v>
      </c>
      <c r="H6354" s="136"/>
      <c r="I6354" s="137">
        <f>SUM(I6352:I6353)</f>
        <v>127675.5</v>
      </c>
    </row>
    <row r="6355" spans="2:10" ht="15.95" customHeight="1" thickBot="1" x14ac:dyDescent="0.3">
      <c r="C6355" s="116" t="s">
        <v>387</v>
      </c>
      <c r="D6355" s="117" t="s">
        <v>388</v>
      </c>
      <c r="E6355" s="118"/>
      <c r="F6355" s="118"/>
      <c r="G6355" s="165"/>
      <c r="H6355" s="144">
        <f>IF(AND(D6355&lt;&gt;"",F6355&lt;&gt;""),IF(C6355="",IF(F6355="OH",VLOOKUP(D6355,[1]UPAH!$B$3:$G$32,7,0),VLOOKUP(D6355,[1]BAHAN!$A$2:$D$3,4,0)),0),0)</f>
        <v>0</v>
      </c>
      <c r="I6355" s="126">
        <f>G6355*H6355</f>
        <v>0</v>
      </c>
    </row>
    <row r="6356" spans="2:10" ht="15.95" customHeight="1" thickBot="1" x14ac:dyDescent="0.3">
      <c r="C6356" s="132"/>
      <c r="D6356" s="133"/>
      <c r="E6356" s="134"/>
      <c r="F6356" s="134"/>
      <c r="G6356" s="135" t="s">
        <v>389</v>
      </c>
      <c r="H6356" s="136"/>
      <c r="I6356" s="137">
        <f>I6355</f>
        <v>0</v>
      </c>
    </row>
    <row r="6357" spans="2:10" ht="15.95" customHeight="1" x14ac:dyDescent="0.25">
      <c r="C6357" s="158" t="s">
        <v>390</v>
      </c>
      <c r="D6357" s="159" t="s">
        <v>391</v>
      </c>
      <c r="E6357" s="160"/>
      <c r="F6357" s="160"/>
      <c r="G6357" s="161"/>
      <c r="H6357" s="162">
        <f>IF(AND(D6357&lt;&gt;"",F6357&lt;&gt;""),IF(C6357="",IF(F6357="OH",VLOOKUP(D6357,[1]UPAH!$B$3:$G$32,7,0),VLOOKUP(D6357,[1]BAHAN!$A$2:$D$3,4,0)),0),0)</f>
        <v>0</v>
      </c>
      <c r="I6357" s="126">
        <f>SUM(I6346:I6356)/2</f>
        <v>222710.5</v>
      </c>
    </row>
    <row r="6358" spans="2:10" ht="15.95" customHeight="1" thickBot="1" x14ac:dyDescent="0.3">
      <c r="C6358" s="147" t="s">
        <v>392</v>
      </c>
      <c r="D6358" s="148" t="s">
        <v>393</v>
      </c>
      <c r="E6358" s="149"/>
      <c r="F6358" s="149"/>
      <c r="G6358" s="164">
        <v>0.1</v>
      </c>
      <c r="H6358" s="151"/>
      <c r="I6358" s="146">
        <f>G6358*I6357</f>
        <v>22271.050000000003</v>
      </c>
    </row>
    <row r="6359" spans="2:10" ht="15.95" customHeight="1" thickBot="1" x14ac:dyDescent="0.3">
      <c r="C6359" s="111" t="s">
        <v>394</v>
      </c>
      <c r="D6359" s="112" t="s">
        <v>395</v>
      </c>
      <c r="E6359" s="134"/>
      <c r="F6359" s="134"/>
      <c r="G6359" s="156"/>
      <c r="H6359" s="136">
        <f>IF(AND(D6359&lt;&gt;"",F6359&lt;&gt;""),IF(C6359="",IF(F6359="OH",VLOOKUP(D6359,[1]UPAH!$B$3:$G$32,7,0),VLOOKUP(D6359,[1]BAHAN!$A$2:$D$3,4,0)),0),0)</f>
        <v>0</v>
      </c>
      <c r="I6359" s="137">
        <f>ROUNDDOWN(I6357+I6358,0)</f>
        <v>244981</v>
      </c>
    </row>
    <row r="6360" spans="2:10" ht="15.95" customHeight="1" x14ac:dyDescent="0.25">
      <c r="C6360" s="109"/>
      <c r="D6360" s="109"/>
      <c r="G6360" s="157"/>
    </row>
    <row r="6361" spans="2:10" ht="15.95" customHeight="1" thickBot="1" x14ac:dyDescent="0.3">
      <c r="B6361" s="109" t="s">
        <v>1363</v>
      </c>
      <c r="C6361" s="104" t="s">
        <v>1364</v>
      </c>
      <c r="G6361" s="157"/>
      <c r="J6361" s="110">
        <f>I6379</f>
        <v>372022</v>
      </c>
    </row>
    <row r="6362" spans="2:10" ht="15.95" customHeight="1" thickBot="1" x14ac:dyDescent="0.3">
      <c r="C6362" s="111" t="s">
        <v>328</v>
      </c>
      <c r="D6362" s="112" t="s">
        <v>359</v>
      </c>
      <c r="E6362" s="113" t="s">
        <v>360</v>
      </c>
      <c r="F6362" s="113" t="s">
        <v>330</v>
      </c>
      <c r="G6362" s="114" t="s">
        <v>361</v>
      </c>
      <c r="H6362" s="112" t="s">
        <v>362</v>
      </c>
      <c r="I6362" s="115" t="s">
        <v>363</v>
      </c>
    </row>
    <row r="6363" spans="2:10" ht="15.95" customHeight="1" x14ac:dyDescent="0.25">
      <c r="C6363" s="116" t="s">
        <v>364</v>
      </c>
      <c r="D6363" s="117" t="s">
        <v>365</v>
      </c>
      <c r="E6363" s="118"/>
      <c r="F6363" s="118"/>
      <c r="G6363" s="165"/>
      <c r="H6363" s="144"/>
      <c r="I6363" s="126"/>
    </row>
    <row r="6364" spans="2:10" ht="15.95" customHeight="1" x14ac:dyDescent="0.25">
      <c r="C6364" s="122"/>
      <c r="D6364" s="117" t="s">
        <v>366</v>
      </c>
      <c r="E6364" s="123" t="s">
        <v>367</v>
      </c>
      <c r="F6364" s="239" t="s">
        <v>368</v>
      </c>
      <c r="G6364" s="186">
        <v>0.15</v>
      </c>
      <c r="H6364" s="125">
        <f>VLOOKUP(D6364,Upah,8,FALSE)</f>
        <v>125000</v>
      </c>
      <c r="I6364" s="126">
        <f>G6364*H6364</f>
        <v>18750</v>
      </c>
    </row>
    <row r="6365" spans="2:10" ht="15.95" customHeight="1" x14ac:dyDescent="0.25">
      <c r="C6365" s="122"/>
      <c r="D6365" s="117" t="s">
        <v>611</v>
      </c>
      <c r="E6365" s="123" t="s">
        <v>370</v>
      </c>
      <c r="F6365" s="239" t="s">
        <v>368</v>
      </c>
      <c r="G6365" s="186">
        <v>0.45</v>
      </c>
      <c r="H6365" s="125">
        <f>VLOOKUP(D6365,Upah,8,FALSE)</f>
        <v>150000</v>
      </c>
      <c r="I6365" s="126">
        <f>G6365*H6365</f>
        <v>67500</v>
      </c>
    </row>
    <row r="6366" spans="2:10" ht="15.95" customHeight="1" x14ac:dyDescent="0.25">
      <c r="C6366" s="122"/>
      <c r="D6366" s="117" t="s">
        <v>429</v>
      </c>
      <c r="E6366" s="123" t="s">
        <v>372</v>
      </c>
      <c r="F6366" s="239" t="s">
        <v>368</v>
      </c>
      <c r="G6366" s="186">
        <v>4.4999999999999998E-2</v>
      </c>
      <c r="H6366" s="125">
        <f>VLOOKUP(D6366,Upah,8,FALSE)</f>
        <v>165000</v>
      </c>
      <c r="I6366" s="126">
        <f>G6366*H6366</f>
        <v>7425</v>
      </c>
    </row>
    <row r="6367" spans="2:10" ht="15.95" customHeight="1" thickBot="1" x14ac:dyDescent="0.3">
      <c r="C6367" s="122"/>
      <c r="D6367" s="117" t="s">
        <v>373</v>
      </c>
      <c r="E6367" s="123" t="s">
        <v>374</v>
      </c>
      <c r="F6367" s="239" t="s">
        <v>368</v>
      </c>
      <c r="G6367" s="186">
        <v>8.0000000000000002E-3</v>
      </c>
      <c r="H6367" s="125">
        <f>VLOOKUP(D6367,Upah,8,FALSE)</f>
        <v>170000</v>
      </c>
      <c r="I6367" s="126">
        <f>G6367*H6367</f>
        <v>1360</v>
      </c>
    </row>
    <row r="6368" spans="2:10" ht="15.95" customHeight="1" thickBot="1" x14ac:dyDescent="0.3">
      <c r="C6368" s="132"/>
      <c r="D6368" s="133"/>
      <c r="E6368" s="134"/>
      <c r="F6368" s="134"/>
      <c r="G6368" s="135" t="s">
        <v>375</v>
      </c>
      <c r="H6368" s="136"/>
      <c r="I6368" s="137">
        <f>SUM(I6364:I6367)</f>
        <v>95035</v>
      </c>
    </row>
    <row r="6369" spans="2:10" ht="15.95" customHeight="1" x14ac:dyDescent="0.25">
      <c r="C6369" s="116" t="s">
        <v>376</v>
      </c>
      <c r="D6369" s="117" t="s">
        <v>377</v>
      </c>
      <c r="E6369" s="118"/>
      <c r="F6369" s="118"/>
      <c r="G6369" s="165"/>
      <c r="H6369" s="144"/>
      <c r="I6369" s="126"/>
    </row>
    <row r="6370" spans="2:10" ht="15.95" customHeight="1" x14ac:dyDescent="0.25">
      <c r="C6370" s="122"/>
      <c r="D6370" s="117" t="s">
        <v>1365</v>
      </c>
      <c r="E6370" s="118"/>
      <c r="F6370" s="239" t="s">
        <v>158</v>
      </c>
      <c r="G6370" s="186">
        <v>2.8000000000000001E-2</v>
      </c>
      <c r="H6370" s="144">
        <f>VLOOKUP(D6370,Bahan,6,FALSE)</f>
        <v>5715000</v>
      </c>
      <c r="I6370" s="126">
        <f>G6370*H6370</f>
        <v>160020</v>
      </c>
    </row>
    <row r="6371" spans="2:10" ht="15.95" customHeight="1" x14ac:dyDescent="0.25">
      <c r="C6371" s="122"/>
      <c r="D6371" s="117" t="s">
        <v>613</v>
      </c>
      <c r="E6371" s="118"/>
      <c r="F6371" s="239" t="s">
        <v>133</v>
      </c>
      <c r="G6371" s="186">
        <v>0.15</v>
      </c>
      <c r="H6371" s="144">
        <f>VLOOKUP(D6371,Bahan,6,FALSE)</f>
        <v>27970</v>
      </c>
      <c r="I6371" s="126">
        <f>G6371*H6371</f>
        <v>4195.5</v>
      </c>
    </row>
    <row r="6372" spans="2:10" ht="15.95" customHeight="1" x14ac:dyDescent="0.25">
      <c r="C6372" s="122"/>
      <c r="D6372" s="117" t="s">
        <v>1366</v>
      </c>
      <c r="E6372" s="118"/>
      <c r="F6372" s="239" t="s">
        <v>621</v>
      </c>
      <c r="G6372" s="186">
        <v>0.86</v>
      </c>
      <c r="H6372" s="144">
        <f>VLOOKUP(D6372,Bahan,6,FALSE)</f>
        <v>81900</v>
      </c>
      <c r="I6372" s="126">
        <f>G6372*H6372</f>
        <v>70434</v>
      </c>
    </row>
    <row r="6373" spans="2:10" ht="15.95" customHeight="1" thickBot="1" x14ac:dyDescent="0.3">
      <c r="C6373" s="122"/>
      <c r="D6373" s="117" t="s">
        <v>1082</v>
      </c>
      <c r="E6373" s="118"/>
      <c r="F6373" s="239" t="s">
        <v>133</v>
      </c>
      <c r="G6373" s="186">
        <v>0.56000000000000005</v>
      </c>
      <c r="H6373" s="144">
        <f>VLOOKUP(D6373,Bahan,6,FALSE)</f>
        <v>15210</v>
      </c>
      <c r="I6373" s="126">
        <f>G6373*H6373</f>
        <v>8517.6</v>
      </c>
    </row>
    <row r="6374" spans="2:10" ht="15.95" customHeight="1" thickBot="1" x14ac:dyDescent="0.3">
      <c r="C6374" s="132"/>
      <c r="D6374" s="133"/>
      <c r="E6374" s="134"/>
      <c r="F6374" s="134"/>
      <c r="G6374" s="135" t="s">
        <v>386</v>
      </c>
      <c r="H6374" s="136"/>
      <c r="I6374" s="137">
        <f>SUM(I6370:I6373)</f>
        <v>243167.1</v>
      </c>
    </row>
    <row r="6375" spans="2:10" ht="15.95" customHeight="1" thickBot="1" x14ac:dyDescent="0.3">
      <c r="C6375" s="116" t="s">
        <v>387</v>
      </c>
      <c r="D6375" s="117" t="s">
        <v>388</v>
      </c>
      <c r="E6375" s="118"/>
      <c r="F6375" s="118"/>
      <c r="G6375" s="165"/>
      <c r="H6375" s="144">
        <f>IF(AND(D6375&lt;&gt;"",F6375&lt;&gt;""),IF(C6375="",IF(F6375="OH",VLOOKUP(D6375,[1]UPAH!$B$3:$G$32,7,0),VLOOKUP(D6375,[1]BAHAN!$A$2:$D$3,4,0)),0),0)</f>
        <v>0</v>
      </c>
      <c r="I6375" s="126">
        <f>G6375*H6375</f>
        <v>0</v>
      </c>
    </row>
    <row r="6376" spans="2:10" ht="15.95" customHeight="1" thickBot="1" x14ac:dyDescent="0.3">
      <c r="C6376" s="132"/>
      <c r="D6376" s="133"/>
      <c r="E6376" s="134"/>
      <c r="F6376" s="134"/>
      <c r="G6376" s="135" t="s">
        <v>389</v>
      </c>
      <c r="H6376" s="136"/>
      <c r="I6376" s="137">
        <f>I6375</f>
        <v>0</v>
      </c>
    </row>
    <row r="6377" spans="2:10" ht="15.95" customHeight="1" x14ac:dyDescent="0.25">
      <c r="C6377" s="158" t="s">
        <v>390</v>
      </c>
      <c r="D6377" s="159" t="s">
        <v>391</v>
      </c>
      <c r="E6377" s="160"/>
      <c r="F6377" s="160"/>
      <c r="G6377" s="161"/>
      <c r="H6377" s="162">
        <f>IF(AND(D6377&lt;&gt;"",F6377&lt;&gt;""),IF(C6377="",IF(F6377="OH",VLOOKUP(D6377,[1]UPAH!$B$3:$G$32,7,0),VLOOKUP(D6377,[1]BAHAN!$A$2:$D$3,4,0)),0),0)</f>
        <v>0</v>
      </c>
      <c r="I6377" s="126">
        <f>SUM(I6364:I6376)/2</f>
        <v>338202.1</v>
      </c>
    </row>
    <row r="6378" spans="2:10" ht="15.95" customHeight="1" thickBot="1" x14ac:dyDescent="0.3">
      <c r="C6378" s="147" t="s">
        <v>392</v>
      </c>
      <c r="D6378" s="148" t="s">
        <v>393</v>
      </c>
      <c r="E6378" s="149"/>
      <c r="F6378" s="149"/>
      <c r="G6378" s="164">
        <v>0.1</v>
      </c>
      <c r="H6378" s="151"/>
      <c r="I6378" s="146">
        <f>G6378*I6377</f>
        <v>33820.21</v>
      </c>
    </row>
    <row r="6379" spans="2:10" ht="15.95" customHeight="1" thickBot="1" x14ac:dyDescent="0.3">
      <c r="C6379" s="111" t="s">
        <v>394</v>
      </c>
      <c r="D6379" s="112" t="s">
        <v>395</v>
      </c>
      <c r="E6379" s="134"/>
      <c r="F6379" s="134"/>
      <c r="G6379" s="156"/>
      <c r="H6379" s="136">
        <f>IF(AND(D6379&lt;&gt;"",F6379&lt;&gt;""),IF(C6379="",IF(F6379="OH",VLOOKUP(D6379,[1]UPAH!$B$3:$G$32,7,0),VLOOKUP(D6379,[1]BAHAN!$A$2:$D$3,4,0)),0),0)</f>
        <v>0</v>
      </c>
      <c r="I6379" s="137">
        <f>ROUNDDOWN(I6377+I6378,0)</f>
        <v>372022</v>
      </c>
    </row>
    <row r="6380" spans="2:10" ht="15.95" customHeight="1" x14ac:dyDescent="0.25">
      <c r="C6380" s="109"/>
      <c r="D6380" s="109"/>
      <c r="G6380" s="157"/>
    </row>
    <row r="6381" spans="2:10" ht="15.95" customHeight="1" thickBot="1" x14ac:dyDescent="0.3">
      <c r="B6381" s="109" t="s">
        <v>1367</v>
      </c>
      <c r="C6381" s="104" t="s">
        <v>1368</v>
      </c>
      <c r="G6381" s="157"/>
      <c r="J6381" s="110">
        <f>I6399</f>
        <v>403054</v>
      </c>
    </row>
    <row r="6382" spans="2:10" ht="15.95" customHeight="1" thickBot="1" x14ac:dyDescent="0.3">
      <c r="C6382" s="111" t="s">
        <v>328</v>
      </c>
      <c r="D6382" s="112" t="s">
        <v>359</v>
      </c>
      <c r="E6382" s="113" t="s">
        <v>360</v>
      </c>
      <c r="F6382" s="113" t="s">
        <v>330</v>
      </c>
      <c r="G6382" s="114" t="s">
        <v>361</v>
      </c>
      <c r="H6382" s="112" t="s">
        <v>362</v>
      </c>
      <c r="I6382" s="115" t="s">
        <v>363</v>
      </c>
    </row>
    <row r="6383" spans="2:10" ht="15.95" customHeight="1" x14ac:dyDescent="0.25">
      <c r="C6383" s="116" t="s">
        <v>364</v>
      </c>
      <c r="D6383" s="117" t="s">
        <v>365</v>
      </c>
      <c r="E6383" s="118"/>
      <c r="F6383" s="118"/>
      <c r="G6383" s="165"/>
      <c r="H6383" s="144"/>
      <c r="I6383" s="126"/>
    </row>
    <row r="6384" spans="2:10" ht="15.95" customHeight="1" x14ac:dyDescent="0.25">
      <c r="C6384" s="122"/>
      <c r="D6384" s="117" t="s">
        <v>366</v>
      </c>
      <c r="E6384" s="123" t="s">
        <v>367</v>
      </c>
      <c r="F6384" s="239" t="s">
        <v>368</v>
      </c>
      <c r="G6384" s="186">
        <v>0.2</v>
      </c>
      <c r="H6384" s="125">
        <f>VLOOKUP(D6384,Upah,8,FALSE)</f>
        <v>125000</v>
      </c>
      <c r="I6384" s="126">
        <f>G6384*H6384</f>
        <v>25000</v>
      </c>
    </row>
    <row r="6385" spans="3:9" ht="15.95" customHeight="1" x14ac:dyDescent="0.25">
      <c r="C6385" s="122"/>
      <c r="D6385" s="117" t="s">
        <v>611</v>
      </c>
      <c r="E6385" s="123" t="s">
        <v>370</v>
      </c>
      <c r="F6385" s="239" t="s">
        <v>368</v>
      </c>
      <c r="G6385" s="186">
        <v>0.6</v>
      </c>
      <c r="H6385" s="125">
        <f>VLOOKUP(D6385,Upah,8,FALSE)</f>
        <v>150000</v>
      </c>
      <c r="I6385" s="126">
        <f>G6385*H6385</f>
        <v>90000</v>
      </c>
    </row>
    <row r="6386" spans="3:9" ht="15.95" customHeight="1" x14ac:dyDescent="0.25">
      <c r="C6386" s="122"/>
      <c r="D6386" s="117" t="s">
        <v>429</v>
      </c>
      <c r="E6386" s="123" t="s">
        <v>372</v>
      </c>
      <c r="F6386" s="239" t="s">
        <v>368</v>
      </c>
      <c r="G6386" s="186">
        <v>0.06</v>
      </c>
      <c r="H6386" s="125">
        <f>VLOOKUP(D6386,Upah,8,FALSE)</f>
        <v>165000</v>
      </c>
      <c r="I6386" s="126">
        <f>G6386*H6386</f>
        <v>9900</v>
      </c>
    </row>
    <row r="6387" spans="3:9" ht="15.95" customHeight="1" thickBot="1" x14ac:dyDescent="0.3">
      <c r="C6387" s="122"/>
      <c r="D6387" s="117" t="s">
        <v>373</v>
      </c>
      <c r="E6387" s="123" t="s">
        <v>374</v>
      </c>
      <c r="F6387" s="239" t="s">
        <v>368</v>
      </c>
      <c r="G6387" s="186">
        <v>0.01</v>
      </c>
      <c r="H6387" s="125">
        <f>VLOOKUP(D6387,Upah,8,FALSE)</f>
        <v>170000</v>
      </c>
      <c r="I6387" s="126">
        <f>G6387*H6387</f>
        <v>1700</v>
      </c>
    </row>
    <row r="6388" spans="3:9" ht="15.95" customHeight="1" thickBot="1" x14ac:dyDescent="0.3">
      <c r="C6388" s="132"/>
      <c r="D6388" s="133"/>
      <c r="E6388" s="134"/>
      <c r="F6388" s="134"/>
      <c r="G6388" s="135" t="s">
        <v>375</v>
      </c>
      <c r="H6388" s="136"/>
      <c r="I6388" s="137">
        <f>SUM(I6384:I6387)</f>
        <v>126600</v>
      </c>
    </row>
    <row r="6389" spans="3:9" ht="15.95" customHeight="1" x14ac:dyDescent="0.25">
      <c r="C6389" s="116" t="s">
        <v>376</v>
      </c>
      <c r="D6389" s="117" t="s">
        <v>377</v>
      </c>
      <c r="E6389" s="118"/>
      <c r="F6389" s="118"/>
      <c r="G6389" s="165"/>
      <c r="H6389" s="144"/>
      <c r="I6389" s="126"/>
    </row>
    <row r="6390" spans="3:9" ht="15.95" customHeight="1" x14ac:dyDescent="0.25">
      <c r="C6390" s="122"/>
      <c r="D6390" s="117" t="s">
        <v>1365</v>
      </c>
      <c r="E6390" s="118"/>
      <c r="F6390" s="239" t="s">
        <v>158</v>
      </c>
      <c r="G6390" s="186">
        <v>2.8000000000000001E-2</v>
      </c>
      <c r="H6390" s="144">
        <f>VLOOKUP(D6390,Bahan,6,FALSE)</f>
        <v>5715000</v>
      </c>
      <c r="I6390" s="126">
        <f>G6390*H6390</f>
        <v>160020</v>
      </c>
    </row>
    <row r="6391" spans="3:9" ht="15.95" customHeight="1" x14ac:dyDescent="0.25">
      <c r="C6391" s="122"/>
      <c r="D6391" s="117" t="s">
        <v>613</v>
      </c>
      <c r="E6391" s="118"/>
      <c r="F6391" s="239" t="s">
        <v>133</v>
      </c>
      <c r="G6391" s="186">
        <v>0.15</v>
      </c>
      <c r="H6391" s="144">
        <f>VLOOKUP(D6391,Bahan,6,FALSE)</f>
        <v>27970</v>
      </c>
      <c r="I6391" s="126">
        <f>G6391*H6391</f>
        <v>4195.5</v>
      </c>
    </row>
    <row r="6392" spans="3:9" ht="15.95" customHeight="1" x14ac:dyDescent="0.25">
      <c r="C6392" s="122"/>
      <c r="D6392" s="117" t="s">
        <v>423</v>
      </c>
      <c r="E6392" s="118"/>
      <c r="F6392" s="123" t="s">
        <v>621</v>
      </c>
      <c r="G6392" s="186">
        <v>0.86</v>
      </c>
      <c r="H6392" s="144">
        <f>VLOOKUP(D6392,Bahan,6,FALSE)</f>
        <v>78000</v>
      </c>
      <c r="I6392" s="126">
        <f>G6392*H6392</f>
        <v>67080</v>
      </c>
    </row>
    <row r="6393" spans="3:9" ht="15.95" customHeight="1" thickBot="1" x14ac:dyDescent="0.3">
      <c r="C6393" s="122"/>
      <c r="D6393" s="117" t="s">
        <v>1082</v>
      </c>
      <c r="E6393" s="118"/>
      <c r="F6393" s="239" t="s">
        <v>133</v>
      </c>
      <c r="G6393" s="186">
        <v>0.56000000000000005</v>
      </c>
      <c r="H6393" s="144">
        <f>VLOOKUP(D6393,Bahan,6,FALSE)</f>
        <v>15210</v>
      </c>
      <c r="I6393" s="126">
        <f>G6393*H6393</f>
        <v>8517.6</v>
      </c>
    </row>
    <row r="6394" spans="3:9" ht="15.95" customHeight="1" thickBot="1" x14ac:dyDescent="0.3">
      <c r="C6394" s="132"/>
      <c r="D6394" s="133"/>
      <c r="E6394" s="134"/>
      <c r="F6394" s="134"/>
      <c r="G6394" s="135" t="s">
        <v>386</v>
      </c>
      <c r="H6394" s="136"/>
      <c r="I6394" s="137">
        <f>SUM(I6390:I6393)</f>
        <v>239813.1</v>
      </c>
    </row>
    <row r="6395" spans="3:9" ht="15.95" customHeight="1" thickBot="1" x14ac:dyDescent="0.3">
      <c r="C6395" s="116" t="s">
        <v>387</v>
      </c>
      <c r="D6395" s="117" t="s">
        <v>388</v>
      </c>
      <c r="E6395" s="134"/>
      <c r="F6395" s="118"/>
      <c r="G6395" s="165"/>
      <c r="H6395" s="144">
        <f>IF(AND(D6395&lt;&gt;"",F6395&lt;&gt;""),IF(C6395="",IF(F6395="OH",VLOOKUP(D6395,[1]UPAH!$B$3:$G$32,7,0),VLOOKUP(D6395,[1]BAHAN!$A$2:$D$3,4,0)),0),0)</f>
        <v>0</v>
      </c>
      <c r="I6395" s="126">
        <f>G6395*H6395</f>
        <v>0</v>
      </c>
    </row>
    <row r="6396" spans="3:9" ht="15.95" customHeight="1" thickBot="1" x14ac:dyDescent="0.3">
      <c r="C6396" s="132"/>
      <c r="D6396" s="133"/>
      <c r="E6396" s="134"/>
      <c r="F6396" s="134"/>
      <c r="G6396" s="135" t="s">
        <v>389</v>
      </c>
      <c r="H6396" s="136"/>
      <c r="I6396" s="137">
        <f>I6395</f>
        <v>0</v>
      </c>
    </row>
    <row r="6397" spans="3:9" ht="15.95" customHeight="1" x14ac:dyDescent="0.25">
      <c r="C6397" s="158" t="s">
        <v>390</v>
      </c>
      <c r="D6397" s="159" t="s">
        <v>391</v>
      </c>
      <c r="E6397" s="160"/>
      <c r="F6397" s="160"/>
      <c r="G6397" s="161"/>
      <c r="H6397" s="162">
        <f>IF(AND(D6397&lt;&gt;"",F6397&lt;&gt;""),IF(C6397="",IF(F6397="OH",VLOOKUP(D6397,[1]UPAH!$B$3:$G$32,7,0),VLOOKUP(D6397,[1]BAHAN!$A$2:$D$3,4,0)),0),0)</f>
        <v>0</v>
      </c>
      <c r="I6397" s="126">
        <f>SUM(I6384:I6396)/2</f>
        <v>366413.1</v>
      </c>
    </row>
    <row r="6398" spans="3:9" ht="15.95" customHeight="1" thickBot="1" x14ac:dyDescent="0.3">
      <c r="C6398" s="147" t="s">
        <v>392</v>
      </c>
      <c r="D6398" s="148" t="s">
        <v>393</v>
      </c>
      <c r="E6398" s="149"/>
      <c r="F6398" s="149"/>
      <c r="G6398" s="164">
        <v>0.1</v>
      </c>
      <c r="H6398" s="151"/>
      <c r="I6398" s="146">
        <f>G6398*I6397</f>
        <v>36641.31</v>
      </c>
    </row>
    <row r="6399" spans="3:9" ht="15.95" customHeight="1" thickBot="1" x14ac:dyDescent="0.3">
      <c r="C6399" s="111" t="s">
        <v>394</v>
      </c>
      <c r="D6399" s="112" t="s">
        <v>395</v>
      </c>
      <c r="E6399" s="134"/>
      <c r="F6399" s="134"/>
      <c r="G6399" s="156"/>
      <c r="H6399" s="136">
        <f>IF(AND(D6399&lt;&gt;"",F6399&lt;&gt;""),IF(C6399="",IF(F6399="OH",VLOOKUP(D6399,[1]UPAH!$B$3:$G$32,7,0),VLOOKUP(D6399,[1]BAHAN!$A$2:$D$3,4,0)),0),0)</f>
        <v>0</v>
      </c>
      <c r="I6399" s="137">
        <f>ROUNDDOWN(I6397+I6398,0)</f>
        <v>403054</v>
      </c>
    </row>
    <row r="6400" spans="3:9" ht="15.95" customHeight="1" x14ac:dyDescent="0.25">
      <c r="C6400" s="109"/>
      <c r="D6400" s="109"/>
      <c r="G6400" s="157"/>
    </row>
    <row r="6401" spans="2:10" ht="15.95" customHeight="1" thickBot="1" x14ac:dyDescent="0.3">
      <c r="B6401" s="109" t="s">
        <v>1369</v>
      </c>
      <c r="C6401" s="104" t="s">
        <v>1370</v>
      </c>
      <c r="G6401" s="157"/>
      <c r="J6401" s="110">
        <f>I6418</f>
        <v>455645</v>
      </c>
    </row>
    <row r="6402" spans="2:10" ht="15.95" customHeight="1" thickBot="1" x14ac:dyDescent="0.3">
      <c r="C6402" s="111" t="s">
        <v>328</v>
      </c>
      <c r="D6402" s="112" t="s">
        <v>359</v>
      </c>
      <c r="E6402" s="113" t="s">
        <v>360</v>
      </c>
      <c r="F6402" s="113" t="s">
        <v>330</v>
      </c>
      <c r="G6402" s="114" t="s">
        <v>361</v>
      </c>
      <c r="H6402" s="112" t="s">
        <v>362</v>
      </c>
      <c r="I6402" s="115" t="s">
        <v>363</v>
      </c>
    </row>
    <row r="6403" spans="2:10" ht="15.95" customHeight="1" x14ac:dyDescent="0.25">
      <c r="C6403" s="116" t="s">
        <v>364</v>
      </c>
      <c r="D6403" s="117" t="s">
        <v>365</v>
      </c>
      <c r="E6403" s="118"/>
      <c r="F6403" s="118"/>
      <c r="G6403" s="165"/>
      <c r="H6403" s="144"/>
      <c r="I6403" s="126"/>
    </row>
    <row r="6404" spans="2:10" ht="15.95" customHeight="1" x14ac:dyDescent="0.25">
      <c r="C6404" s="122"/>
      <c r="D6404" s="117" t="s">
        <v>366</v>
      </c>
      <c r="E6404" s="123" t="s">
        <v>367</v>
      </c>
      <c r="F6404" s="239" t="s">
        <v>368</v>
      </c>
      <c r="G6404" s="242">
        <v>0.6</v>
      </c>
      <c r="H6404" s="125">
        <f>VLOOKUP(D6404,Upah,8,FALSE)</f>
        <v>125000</v>
      </c>
      <c r="I6404" s="126">
        <f>G6404*H6404</f>
        <v>75000</v>
      </c>
    </row>
    <row r="6405" spans="2:10" ht="15.95" customHeight="1" x14ac:dyDescent="0.25">
      <c r="C6405" s="122"/>
      <c r="D6405" s="117" t="s">
        <v>611</v>
      </c>
      <c r="E6405" s="123" t="s">
        <v>370</v>
      </c>
      <c r="F6405" s="239" t="s">
        <v>368</v>
      </c>
      <c r="G6405" s="242">
        <v>1.8</v>
      </c>
      <c r="H6405" s="125">
        <f>VLOOKUP(D6405,Upah,8,FALSE)</f>
        <v>150000</v>
      </c>
      <c r="I6405" s="126">
        <f>G6405*H6405</f>
        <v>270000</v>
      </c>
    </row>
    <row r="6406" spans="2:10" ht="15.95" customHeight="1" x14ac:dyDescent="0.25">
      <c r="C6406" s="122"/>
      <c r="D6406" s="117" t="s">
        <v>429</v>
      </c>
      <c r="E6406" s="123" t="s">
        <v>372</v>
      </c>
      <c r="F6406" s="239" t="s">
        <v>368</v>
      </c>
      <c r="G6406" s="242">
        <v>0.18</v>
      </c>
      <c r="H6406" s="125">
        <f>VLOOKUP(D6406,Upah,8,FALSE)</f>
        <v>165000</v>
      </c>
      <c r="I6406" s="126">
        <f>G6406*H6406</f>
        <v>29700</v>
      </c>
    </row>
    <row r="6407" spans="2:10" ht="15.95" customHeight="1" thickBot="1" x14ac:dyDescent="0.3">
      <c r="C6407" s="122"/>
      <c r="D6407" s="117" t="s">
        <v>373</v>
      </c>
      <c r="E6407" s="123" t="s">
        <v>374</v>
      </c>
      <c r="F6407" s="239" t="s">
        <v>368</v>
      </c>
      <c r="G6407" s="242">
        <v>0.03</v>
      </c>
      <c r="H6407" s="125">
        <f>VLOOKUP(D6407,Upah,8,FALSE)</f>
        <v>170000</v>
      </c>
      <c r="I6407" s="126">
        <f>G6407*H6407</f>
        <v>5100</v>
      </c>
    </row>
    <row r="6408" spans="2:10" ht="15.95" customHeight="1" thickBot="1" x14ac:dyDescent="0.3">
      <c r="C6408" s="132"/>
      <c r="D6408" s="133"/>
      <c r="E6408" s="134"/>
      <c r="F6408" s="134"/>
      <c r="G6408" s="135" t="s">
        <v>375</v>
      </c>
      <c r="H6408" s="136"/>
      <c r="I6408" s="137">
        <f>SUM(I6404:I6407)</f>
        <v>379800</v>
      </c>
    </row>
    <row r="6409" spans="2:10" ht="15.95" customHeight="1" x14ac:dyDescent="0.25">
      <c r="C6409" s="116" t="s">
        <v>376</v>
      </c>
      <c r="D6409" s="117" t="s">
        <v>377</v>
      </c>
      <c r="E6409" s="118"/>
      <c r="F6409" s="118"/>
      <c r="G6409" s="165"/>
      <c r="H6409" s="144"/>
      <c r="I6409" s="126"/>
    </row>
    <row r="6410" spans="2:10" ht="15.95" customHeight="1" x14ac:dyDescent="0.25">
      <c r="C6410" s="122"/>
      <c r="D6410" s="117" t="s">
        <v>1330</v>
      </c>
      <c r="E6410" s="118"/>
      <c r="F6410" s="239" t="s">
        <v>158</v>
      </c>
      <c r="G6410" s="242">
        <v>7.0000000000000001E-3</v>
      </c>
      <c r="H6410" s="144">
        <f>VLOOKUP(D6410,Bahan,6,FALSE)</f>
        <v>4500000</v>
      </c>
      <c r="I6410" s="126">
        <f>G6410*H6410</f>
        <v>31500</v>
      </c>
    </row>
    <row r="6411" spans="2:10" ht="15.95" customHeight="1" x14ac:dyDescent="0.25">
      <c r="C6411" s="122"/>
      <c r="D6411" s="117" t="s">
        <v>613</v>
      </c>
      <c r="E6411" s="118"/>
      <c r="F6411" s="239" t="s">
        <v>133</v>
      </c>
      <c r="G6411" s="242">
        <v>0.1</v>
      </c>
      <c r="H6411" s="144">
        <f>VLOOKUP(D6411,Bahan,6,FALSE)</f>
        <v>27970</v>
      </c>
      <c r="I6411" s="126">
        <f>G6411*H6411</f>
        <v>2797</v>
      </c>
    </row>
    <row r="6412" spans="2:10" ht="15.95" customHeight="1" thickBot="1" x14ac:dyDescent="0.3">
      <c r="C6412" s="122"/>
      <c r="D6412" s="117" t="s">
        <v>788</v>
      </c>
      <c r="E6412" s="118"/>
      <c r="F6412" s="239" t="s">
        <v>133</v>
      </c>
      <c r="G6412" s="242">
        <v>0.15</v>
      </c>
      <c r="H6412" s="144">
        <f>VLOOKUP(D6412,Bahan,6,FALSE)</f>
        <v>840</v>
      </c>
      <c r="I6412" s="126">
        <f>G6412*H6412</f>
        <v>126</v>
      </c>
    </row>
    <row r="6413" spans="2:10" ht="15.95" customHeight="1" thickBot="1" x14ac:dyDescent="0.3">
      <c r="C6413" s="132"/>
      <c r="D6413" s="133"/>
      <c r="E6413" s="134"/>
      <c r="F6413" s="134"/>
      <c r="G6413" s="135" t="s">
        <v>386</v>
      </c>
      <c r="H6413" s="136"/>
      <c r="I6413" s="137">
        <f>SUM(I6410:I6412)</f>
        <v>34423</v>
      </c>
    </row>
    <row r="6414" spans="2:10" ht="15.95" customHeight="1" thickBot="1" x14ac:dyDescent="0.3">
      <c r="C6414" s="116" t="s">
        <v>387</v>
      </c>
      <c r="D6414" s="117" t="s">
        <v>388</v>
      </c>
      <c r="E6414" s="118"/>
      <c r="F6414" s="118"/>
      <c r="G6414" s="165"/>
      <c r="H6414" s="144">
        <f>IF(AND(D6414&lt;&gt;"",F6414&lt;&gt;""),IF(C6414="",IF(F6414="OH",VLOOKUP(D6414,[1]UPAH!$B$3:$G$32,7,0),VLOOKUP(D6414,[1]BAHAN!$A$2:$D$3,4,0)),0),0)</f>
        <v>0</v>
      </c>
      <c r="I6414" s="126">
        <f>G6414*H6414</f>
        <v>0</v>
      </c>
    </row>
    <row r="6415" spans="2:10" ht="15.95" customHeight="1" thickBot="1" x14ac:dyDescent="0.3">
      <c r="C6415" s="132"/>
      <c r="D6415" s="133"/>
      <c r="E6415" s="134"/>
      <c r="F6415" s="134"/>
      <c r="G6415" s="135" t="s">
        <v>389</v>
      </c>
      <c r="H6415" s="136"/>
      <c r="I6415" s="137">
        <f>I6414</f>
        <v>0</v>
      </c>
    </row>
    <row r="6416" spans="2:10" ht="15.95" customHeight="1" x14ac:dyDescent="0.25">
      <c r="C6416" s="158" t="s">
        <v>390</v>
      </c>
      <c r="D6416" s="159" t="s">
        <v>391</v>
      </c>
      <c r="E6416" s="160"/>
      <c r="F6416" s="160"/>
      <c r="G6416" s="161"/>
      <c r="H6416" s="162">
        <f>IF(AND(D6416&lt;&gt;"",F6416&lt;&gt;""),IF(C6416="",IF(F6416="OH",VLOOKUP(D6416,[1]UPAH!$B$3:$G$32,7,0),VLOOKUP(D6416,[1]BAHAN!$A$2:$D$3,4,0)),0),0)</f>
        <v>0</v>
      </c>
      <c r="I6416" s="126">
        <f>SUM(I6404:I6415)/2</f>
        <v>414223</v>
      </c>
    </row>
    <row r="6417" spans="2:10" ht="15.95" customHeight="1" thickBot="1" x14ac:dyDescent="0.3">
      <c r="C6417" s="147" t="s">
        <v>392</v>
      </c>
      <c r="D6417" s="148" t="s">
        <v>393</v>
      </c>
      <c r="E6417" s="149"/>
      <c r="F6417" s="149"/>
      <c r="G6417" s="164">
        <v>0.1</v>
      </c>
      <c r="H6417" s="151"/>
      <c r="I6417" s="146">
        <f>G6417*I6416</f>
        <v>41422.300000000003</v>
      </c>
    </row>
    <row r="6418" spans="2:10" ht="15.95" customHeight="1" thickBot="1" x14ac:dyDescent="0.3">
      <c r="C6418" s="111" t="s">
        <v>394</v>
      </c>
      <c r="D6418" s="112" t="s">
        <v>395</v>
      </c>
      <c r="E6418" s="134"/>
      <c r="F6418" s="134"/>
      <c r="G6418" s="156"/>
      <c r="H6418" s="136">
        <f>IF(AND(D6418&lt;&gt;"",F6418&lt;&gt;""),IF(C6418="",IF(F6418="OH",VLOOKUP(D6418,[1]UPAH!$B$3:$G$32,7,0),VLOOKUP(D6418,[1]BAHAN!$A$2:$D$3,4,0)),0),0)</f>
        <v>0</v>
      </c>
      <c r="I6418" s="137">
        <f>ROUNDDOWN(I6416+I6417,0)</f>
        <v>455645</v>
      </c>
    </row>
    <row r="6419" spans="2:10" ht="15.95" customHeight="1" x14ac:dyDescent="0.25">
      <c r="C6419" s="109"/>
      <c r="D6419" s="109"/>
      <c r="G6419" s="157"/>
    </row>
    <row r="6420" spans="2:10" ht="15.95" customHeight="1" thickBot="1" x14ac:dyDescent="0.3">
      <c r="B6420" s="109" t="s">
        <v>1371</v>
      </c>
      <c r="C6420" s="104" t="s">
        <v>1372</v>
      </c>
      <c r="G6420" s="157"/>
      <c r="J6420" s="110">
        <f>I6436</f>
        <v>53309</v>
      </c>
    </row>
    <row r="6421" spans="2:10" ht="15.95" customHeight="1" thickBot="1" x14ac:dyDescent="0.3">
      <c r="C6421" s="111" t="s">
        <v>328</v>
      </c>
      <c r="D6421" s="112" t="s">
        <v>359</v>
      </c>
      <c r="E6421" s="113" t="s">
        <v>360</v>
      </c>
      <c r="F6421" s="113" t="s">
        <v>330</v>
      </c>
      <c r="G6421" s="114" t="s">
        <v>361</v>
      </c>
      <c r="H6421" s="112" t="s">
        <v>362</v>
      </c>
      <c r="I6421" s="115" t="s">
        <v>363</v>
      </c>
    </row>
    <row r="6422" spans="2:10" ht="15.95" customHeight="1" x14ac:dyDescent="0.25">
      <c r="C6422" s="116" t="s">
        <v>364</v>
      </c>
      <c r="D6422" s="117" t="s">
        <v>365</v>
      </c>
      <c r="E6422" s="118"/>
      <c r="F6422" s="118"/>
      <c r="G6422" s="165"/>
      <c r="H6422" s="144"/>
      <c r="I6422" s="126"/>
    </row>
    <row r="6423" spans="2:10" ht="15.95" customHeight="1" x14ac:dyDescent="0.25">
      <c r="C6423" s="122"/>
      <c r="D6423" s="117" t="s">
        <v>366</v>
      </c>
      <c r="E6423" s="123" t="s">
        <v>367</v>
      </c>
      <c r="F6423" s="239" t="s">
        <v>368</v>
      </c>
      <c r="G6423" s="242">
        <v>2.5000000000000001E-2</v>
      </c>
      <c r="H6423" s="125">
        <f>VLOOKUP(D6423,Upah,8,FALSE)</f>
        <v>125000</v>
      </c>
      <c r="I6423" s="126">
        <f>G6423*H6423</f>
        <v>3125</v>
      </c>
    </row>
    <row r="6424" spans="2:10" ht="15.95" customHeight="1" x14ac:dyDescent="0.25">
      <c r="C6424" s="122"/>
      <c r="D6424" s="117" t="s">
        <v>611</v>
      </c>
      <c r="E6424" s="123" t="s">
        <v>370</v>
      </c>
      <c r="F6424" s="239" t="s">
        <v>368</v>
      </c>
      <c r="G6424" s="242">
        <v>7.4999999999999997E-2</v>
      </c>
      <c r="H6424" s="125">
        <f>VLOOKUP(D6424,Upah,8,FALSE)</f>
        <v>150000</v>
      </c>
      <c r="I6424" s="126">
        <f>G6424*H6424</f>
        <v>11250</v>
      </c>
    </row>
    <row r="6425" spans="2:10" ht="15.95" customHeight="1" x14ac:dyDescent="0.25">
      <c r="C6425" s="122"/>
      <c r="D6425" s="117" t="s">
        <v>429</v>
      </c>
      <c r="E6425" s="123" t="s">
        <v>372</v>
      </c>
      <c r="F6425" s="239" t="s">
        <v>368</v>
      </c>
      <c r="G6425" s="242">
        <v>8.0000000000000002E-3</v>
      </c>
      <c r="H6425" s="125">
        <f>VLOOKUP(D6425,Upah,8,FALSE)</f>
        <v>165000</v>
      </c>
      <c r="I6425" s="126">
        <f>G6425*H6425</f>
        <v>1320</v>
      </c>
    </row>
    <row r="6426" spans="2:10" ht="15.95" customHeight="1" thickBot="1" x14ac:dyDescent="0.3">
      <c r="C6426" s="122"/>
      <c r="D6426" s="117" t="s">
        <v>373</v>
      </c>
      <c r="E6426" s="123" t="s">
        <v>374</v>
      </c>
      <c r="F6426" s="239" t="s">
        <v>368</v>
      </c>
      <c r="G6426" s="242">
        <v>1E-3</v>
      </c>
      <c r="H6426" s="125">
        <f>VLOOKUP(D6426,Upah,8,FALSE)</f>
        <v>170000</v>
      </c>
      <c r="I6426" s="126">
        <f>G6426*H6426</f>
        <v>170</v>
      </c>
    </row>
    <row r="6427" spans="2:10" ht="15.95" customHeight="1" thickBot="1" x14ac:dyDescent="0.3">
      <c r="C6427" s="132"/>
      <c r="D6427" s="133"/>
      <c r="E6427" s="134"/>
      <c r="F6427" s="134"/>
      <c r="G6427" s="135" t="s">
        <v>375</v>
      </c>
      <c r="H6427" s="136"/>
      <c r="I6427" s="137">
        <f>SUM(I6423:I6426)</f>
        <v>15865</v>
      </c>
    </row>
    <row r="6428" spans="2:10" ht="15.95" customHeight="1" x14ac:dyDescent="0.25">
      <c r="C6428" s="116" t="s">
        <v>376</v>
      </c>
      <c r="D6428" s="117" t="s">
        <v>377</v>
      </c>
      <c r="E6428" s="118"/>
      <c r="F6428" s="118"/>
      <c r="G6428" s="165"/>
      <c r="H6428" s="144"/>
      <c r="I6428" s="126"/>
    </row>
    <row r="6429" spans="2:10" ht="15.95" customHeight="1" x14ac:dyDescent="0.25">
      <c r="C6429" s="122"/>
      <c r="D6429" s="117" t="s">
        <v>423</v>
      </c>
      <c r="E6429" s="118"/>
      <c r="F6429" s="239" t="s">
        <v>158</v>
      </c>
      <c r="G6429" s="242">
        <v>0.4</v>
      </c>
      <c r="H6429" s="144">
        <f>VLOOKUP(D6429,Bahan,6,FALSE)</f>
        <v>78000</v>
      </c>
      <c r="I6429" s="126">
        <f>G6429*H6429</f>
        <v>31200</v>
      </c>
    </row>
    <row r="6430" spans="2:10" ht="15.95" customHeight="1" thickBot="1" x14ac:dyDescent="0.3">
      <c r="C6430" s="122"/>
      <c r="D6430" s="117" t="s">
        <v>613</v>
      </c>
      <c r="E6430" s="118"/>
      <c r="F6430" s="239" t="s">
        <v>133</v>
      </c>
      <c r="G6430" s="242">
        <v>0.05</v>
      </c>
      <c r="H6430" s="144">
        <f>VLOOKUP(D6430,Bahan,6,FALSE)</f>
        <v>27970</v>
      </c>
      <c r="I6430" s="126">
        <f>G6430*H6430</f>
        <v>1398.5</v>
      </c>
    </row>
    <row r="6431" spans="2:10" ht="15.95" customHeight="1" thickBot="1" x14ac:dyDescent="0.3">
      <c r="C6431" s="132"/>
      <c r="D6431" s="133"/>
      <c r="E6431" s="134"/>
      <c r="F6431" s="134"/>
      <c r="G6431" s="135" t="s">
        <v>386</v>
      </c>
      <c r="H6431" s="136"/>
      <c r="I6431" s="137">
        <f>SUM(I6429:I6430)</f>
        <v>32598.5</v>
      </c>
    </row>
    <row r="6432" spans="2:10" ht="15.95" customHeight="1" thickBot="1" x14ac:dyDescent="0.3">
      <c r="C6432" s="116" t="s">
        <v>387</v>
      </c>
      <c r="D6432" s="117" t="s">
        <v>388</v>
      </c>
      <c r="E6432" s="118"/>
      <c r="F6432" s="118"/>
      <c r="G6432" s="165"/>
      <c r="H6432" s="144">
        <f>IF(AND(D6432&lt;&gt;"",F6432&lt;&gt;""),IF(C6432="",IF(F6432="OH",VLOOKUP(D6432,[1]UPAH!$B$3:$G$32,7,0),VLOOKUP(D6432,[1]BAHAN!$A$2:$D$3,4,0)),0),0)</f>
        <v>0</v>
      </c>
      <c r="I6432" s="126">
        <f>G6432*H6432</f>
        <v>0</v>
      </c>
    </row>
    <row r="6433" spans="2:10" ht="15.95" customHeight="1" thickBot="1" x14ac:dyDescent="0.3">
      <c r="C6433" s="132"/>
      <c r="D6433" s="133"/>
      <c r="E6433" s="134"/>
      <c r="F6433" s="134"/>
      <c r="G6433" s="135" t="s">
        <v>389</v>
      </c>
      <c r="H6433" s="136"/>
      <c r="I6433" s="137">
        <f>I6432</f>
        <v>0</v>
      </c>
    </row>
    <row r="6434" spans="2:10" ht="15.95" customHeight="1" x14ac:dyDescent="0.25">
      <c r="C6434" s="158" t="s">
        <v>390</v>
      </c>
      <c r="D6434" s="159" t="s">
        <v>391</v>
      </c>
      <c r="E6434" s="160"/>
      <c r="F6434" s="160"/>
      <c r="G6434" s="161"/>
      <c r="H6434" s="162">
        <f>IF(AND(D6434&lt;&gt;"",F6434&lt;&gt;""),IF(C6434="",IF(F6434="OH",VLOOKUP(D6434,[1]UPAH!$B$3:$G$32,7,0),VLOOKUP(D6434,[1]BAHAN!$A$2:$D$3,4,0)),0),0)</f>
        <v>0</v>
      </c>
      <c r="I6434" s="126">
        <f>SUM(I6423:I6433)/2</f>
        <v>48463.5</v>
      </c>
    </row>
    <row r="6435" spans="2:10" ht="15.95" customHeight="1" thickBot="1" x14ac:dyDescent="0.3">
      <c r="C6435" s="147" t="s">
        <v>392</v>
      </c>
      <c r="D6435" s="148" t="s">
        <v>393</v>
      </c>
      <c r="E6435" s="149"/>
      <c r="F6435" s="149"/>
      <c r="G6435" s="164">
        <v>0.1</v>
      </c>
      <c r="H6435" s="151"/>
      <c r="I6435" s="146">
        <f>G6435*I6434</f>
        <v>4846.3500000000004</v>
      </c>
    </row>
    <row r="6436" spans="2:10" ht="15.95" customHeight="1" thickBot="1" x14ac:dyDescent="0.3">
      <c r="C6436" s="111" t="s">
        <v>394</v>
      </c>
      <c r="D6436" s="112" t="s">
        <v>395</v>
      </c>
      <c r="E6436" s="134"/>
      <c r="F6436" s="134"/>
      <c r="G6436" s="156"/>
      <c r="H6436" s="136">
        <f>IF(AND(D6436&lt;&gt;"",F6436&lt;&gt;""),IF(C6436="",IF(F6436="OH",VLOOKUP(D6436,[1]UPAH!$B$3:$G$32,7,0),VLOOKUP(D6436,[1]BAHAN!$A$2:$D$3,4,0)),0),0)</f>
        <v>0</v>
      </c>
      <c r="I6436" s="137">
        <f>ROUNDDOWN(I6434+I6435,0)</f>
        <v>53309</v>
      </c>
    </row>
    <row r="6437" spans="2:10" ht="15.95" customHeight="1" x14ac:dyDescent="0.25">
      <c r="C6437" s="109"/>
      <c r="D6437" s="109"/>
      <c r="G6437" s="157"/>
    </row>
    <row r="6438" spans="2:10" ht="15.95" customHeight="1" thickBot="1" x14ac:dyDescent="0.3">
      <c r="B6438" s="109" t="s">
        <v>1373</v>
      </c>
      <c r="C6438" s="104" t="s">
        <v>1374</v>
      </c>
      <c r="G6438" s="157"/>
      <c r="J6438" s="110">
        <f>I6456</f>
        <v>300388</v>
      </c>
    </row>
    <row r="6439" spans="2:10" ht="15.95" customHeight="1" thickBot="1" x14ac:dyDescent="0.3">
      <c r="C6439" s="111" t="s">
        <v>328</v>
      </c>
      <c r="D6439" s="112" t="s">
        <v>359</v>
      </c>
      <c r="E6439" s="113" t="s">
        <v>360</v>
      </c>
      <c r="F6439" s="113" t="s">
        <v>330</v>
      </c>
      <c r="G6439" s="114" t="s">
        <v>361</v>
      </c>
      <c r="H6439" s="112" t="s">
        <v>362</v>
      </c>
      <c r="I6439" s="115" t="s">
        <v>363</v>
      </c>
    </row>
    <row r="6440" spans="2:10" ht="15.95" customHeight="1" x14ac:dyDescent="0.25">
      <c r="C6440" s="116" t="s">
        <v>364</v>
      </c>
      <c r="D6440" s="117" t="s">
        <v>365</v>
      </c>
      <c r="E6440" s="118"/>
      <c r="F6440" s="118"/>
      <c r="G6440" s="165"/>
      <c r="H6440" s="144"/>
      <c r="I6440" s="126"/>
    </row>
    <row r="6441" spans="2:10" ht="15.95" customHeight="1" x14ac:dyDescent="0.25">
      <c r="C6441" s="122"/>
      <c r="D6441" s="117" t="s">
        <v>366</v>
      </c>
      <c r="E6441" s="123" t="s">
        <v>367</v>
      </c>
      <c r="F6441" s="239" t="s">
        <v>368</v>
      </c>
      <c r="G6441" s="242">
        <v>0.1</v>
      </c>
      <c r="H6441" s="125">
        <f>VLOOKUP(D6441,Upah,8,FALSE)</f>
        <v>125000</v>
      </c>
      <c r="I6441" s="126">
        <f>G6441*H6441</f>
        <v>12500</v>
      </c>
    </row>
    <row r="6442" spans="2:10" ht="15.95" customHeight="1" x14ac:dyDescent="0.25">
      <c r="C6442" s="122"/>
      <c r="D6442" s="117" t="s">
        <v>611</v>
      </c>
      <c r="E6442" s="123" t="s">
        <v>370</v>
      </c>
      <c r="F6442" s="239" t="s">
        <v>368</v>
      </c>
      <c r="G6442" s="242">
        <v>0.05</v>
      </c>
      <c r="H6442" s="125">
        <f>VLOOKUP(D6442,Upah,8,FALSE)</f>
        <v>150000</v>
      </c>
      <c r="I6442" s="126">
        <f>G6442*H6442</f>
        <v>7500</v>
      </c>
    </row>
    <row r="6443" spans="2:10" ht="15.95" customHeight="1" x14ac:dyDescent="0.25">
      <c r="C6443" s="122"/>
      <c r="D6443" s="117" t="s">
        <v>429</v>
      </c>
      <c r="E6443" s="123" t="s">
        <v>372</v>
      </c>
      <c r="F6443" s="239" t="s">
        <v>368</v>
      </c>
      <c r="G6443" s="242">
        <v>5.0000000000000001E-3</v>
      </c>
      <c r="H6443" s="125">
        <f>VLOOKUP(D6443,Upah,8,FALSE)</f>
        <v>165000</v>
      </c>
      <c r="I6443" s="126">
        <f>G6443*H6443</f>
        <v>825</v>
      </c>
    </row>
    <row r="6444" spans="2:10" ht="15.95" customHeight="1" thickBot="1" x14ac:dyDescent="0.3">
      <c r="C6444" s="122"/>
      <c r="D6444" s="117" t="s">
        <v>373</v>
      </c>
      <c r="E6444" s="123" t="s">
        <v>374</v>
      </c>
      <c r="F6444" s="239" t="s">
        <v>368</v>
      </c>
      <c r="G6444" s="242">
        <v>5.0000000000000001E-3</v>
      </c>
      <c r="H6444" s="125">
        <f>VLOOKUP(D6444,Upah,8,FALSE)</f>
        <v>170000</v>
      </c>
      <c r="I6444" s="126">
        <f>G6444*H6444</f>
        <v>850</v>
      </c>
    </row>
    <row r="6445" spans="2:10" ht="15.95" customHeight="1" thickBot="1" x14ac:dyDescent="0.3">
      <c r="C6445" s="132"/>
      <c r="D6445" s="133"/>
      <c r="E6445" s="134"/>
      <c r="F6445" s="134"/>
      <c r="G6445" s="135" t="s">
        <v>375</v>
      </c>
      <c r="H6445" s="136"/>
      <c r="I6445" s="137">
        <f>SUM(I6441:I6444)</f>
        <v>21675</v>
      </c>
    </row>
    <row r="6446" spans="2:10" ht="15.95" customHeight="1" x14ac:dyDescent="0.25">
      <c r="C6446" s="116" t="s">
        <v>376</v>
      </c>
      <c r="D6446" s="117" t="s">
        <v>377</v>
      </c>
      <c r="E6446" s="118"/>
      <c r="F6446" s="118"/>
      <c r="G6446" s="165"/>
      <c r="H6446" s="144"/>
      <c r="I6446" s="126"/>
    </row>
    <row r="6447" spans="2:10" ht="15.95" customHeight="1" x14ac:dyDescent="0.25">
      <c r="C6447" s="122"/>
      <c r="D6447" s="117" t="s">
        <v>1375</v>
      </c>
      <c r="E6447" s="118"/>
      <c r="F6447" s="239" t="s">
        <v>82</v>
      </c>
      <c r="G6447" s="242">
        <v>1.5</v>
      </c>
      <c r="H6447" s="144">
        <f>VLOOKUP(D6447,Bahan,6,FALSE)</f>
        <v>92250</v>
      </c>
      <c r="I6447" s="126">
        <f>G6447*H6447</f>
        <v>138375</v>
      </c>
    </row>
    <row r="6448" spans="2:10" ht="15.95" customHeight="1" x14ac:dyDescent="0.25">
      <c r="C6448" s="122"/>
      <c r="D6448" s="104" t="s">
        <v>382</v>
      </c>
      <c r="E6448" s="118"/>
      <c r="F6448" s="239" t="s">
        <v>158</v>
      </c>
      <c r="G6448" s="242">
        <v>1.4E-2</v>
      </c>
      <c r="H6448" s="144">
        <f>VLOOKUP(D6448,Bahan,6,FALSE)</f>
        <v>6765000</v>
      </c>
      <c r="I6448" s="126">
        <f>G6448*H6448</f>
        <v>94710</v>
      </c>
    </row>
    <row r="6449" spans="1:10" ht="15.95" customHeight="1" x14ac:dyDescent="0.25">
      <c r="C6449" s="122"/>
      <c r="D6449" s="117" t="s">
        <v>613</v>
      </c>
      <c r="E6449" s="118"/>
      <c r="F6449" s="239" t="s">
        <v>133</v>
      </c>
      <c r="G6449" s="242">
        <v>1.2E-2</v>
      </c>
      <c r="H6449" s="144">
        <f>VLOOKUP(D6449,Bahan,6,FALSE)</f>
        <v>27970</v>
      </c>
      <c r="I6449" s="126">
        <f>G6449*H6449</f>
        <v>335.64</v>
      </c>
    </row>
    <row r="6450" spans="1:10" ht="15.95" customHeight="1" thickBot="1" x14ac:dyDescent="0.3">
      <c r="C6450" s="122"/>
      <c r="D6450" s="117" t="s">
        <v>1376</v>
      </c>
      <c r="E6450" s="118"/>
      <c r="F6450" s="239" t="s">
        <v>158</v>
      </c>
      <c r="G6450" s="242">
        <v>3.0000000000000001E-3</v>
      </c>
      <c r="H6450" s="144">
        <f>VLOOKUP(D6450,Bahan,6,FALSE)</f>
        <v>5995000</v>
      </c>
      <c r="I6450" s="126">
        <f>G6450*H6450</f>
        <v>17985</v>
      </c>
    </row>
    <row r="6451" spans="1:10" ht="15.95" customHeight="1" thickBot="1" x14ac:dyDescent="0.3">
      <c r="C6451" s="132"/>
      <c r="D6451" s="133"/>
      <c r="E6451" s="134"/>
      <c r="F6451" s="134"/>
      <c r="G6451" s="135" t="s">
        <v>386</v>
      </c>
      <c r="H6451" s="136"/>
      <c r="I6451" s="137">
        <f>SUM(I6447:I6450)</f>
        <v>251405.64</v>
      </c>
    </row>
    <row r="6452" spans="1:10" ht="15.95" customHeight="1" thickBot="1" x14ac:dyDescent="0.3">
      <c r="C6452" s="116" t="s">
        <v>387</v>
      </c>
      <c r="D6452" s="117" t="s">
        <v>388</v>
      </c>
      <c r="E6452" s="118"/>
      <c r="F6452" s="118"/>
      <c r="G6452" s="165"/>
      <c r="H6452" s="144">
        <f>IF(AND(D6452&lt;&gt;"",F6452&lt;&gt;""),IF(C6452="",IF(F6452="OH",VLOOKUP(D6452,[1]UPAH!$B$3:$G$32,7,0),VLOOKUP(D6452,[1]BAHAN!$A$2:$D$3,4,0)),0),0)</f>
        <v>0</v>
      </c>
      <c r="I6452" s="126">
        <f>G6452*H6452</f>
        <v>0</v>
      </c>
    </row>
    <row r="6453" spans="1:10" ht="15.95" customHeight="1" thickBot="1" x14ac:dyDescent="0.3">
      <c r="C6453" s="132"/>
      <c r="D6453" s="133"/>
      <c r="E6453" s="134"/>
      <c r="F6453" s="134"/>
      <c r="G6453" s="135" t="s">
        <v>389</v>
      </c>
      <c r="H6453" s="136"/>
      <c r="I6453" s="137">
        <f>I6452</f>
        <v>0</v>
      </c>
    </row>
    <row r="6454" spans="1:10" ht="15.95" customHeight="1" x14ac:dyDescent="0.25">
      <c r="C6454" s="158" t="s">
        <v>390</v>
      </c>
      <c r="D6454" s="159" t="s">
        <v>391</v>
      </c>
      <c r="E6454" s="160"/>
      <c r="F6454" s="160"/>
      <c r="G6454" s="161"/>
      <c r="H6454" s="162">
        <f>IF(AND(D6454&lt;&gt;"",F6454&lt;&gt;""),IF(C6454="",IF(F6454="OH",VLOOKUP(D6454,[1]UPAH!$B$3:$G$32,7,0),VLOOKUP(D6454,[1]BAHAN!$A$2:$D$3,4,0)),0),0)</f>
        <v>0</v>
      </c>
      <c r="I6454" s="126">
        <f>SUM(I6441:I6453)/2</f>
        <v>273080.64</v>
      </c>
    </row>
    <row r="6455" spans="1:10" ht="15.95" customHeight="1" thickBot="1" x14ac:dyDescent="0.3">
      <c r="C6455" s="147" t="s">
        <v>392</v>
      </c>
      <c r="D6455" s="148" t="s">
        <v>393</v>
      </c>
      <c r="E6455" s="149"/>
      <c r="F6455" s="149"/>
      <c r="G6455" s="164">
        <v>0.1</v>
      </c>
      <c r="H6455" s="151"/>
      <c r="I6455" s="146">
        <f>G6455*I6454</f>
        <v>27308.064000000002</v>
      </c>
    </row>
    <row r="6456" spans="1:10" ht="15.95" customHeight="1" thickBot="1" x14ac:dyDescent="0.3">
      <c r="C6456" s="111" t="s">
        <v>394</v>
      </c>
      <c r="D6456" s="112" t="s">
        <v>395</v>
      </c>
      <c r="E6456" s="134"/>
      <c r="F6456" s="134"/>
      <c r="G6456" s="156"/>
      <c r="H6456" s="136">
        <f>IF(AND(D6456&lt;&gt;"",F6456&lt;&gt;""),IF(C6456="",IF(F6456="OH",VLOOKUP(D6456,[1]UPAH!$B$3:$G$32,7,0),VLOOKUP(D6456,[1]BAHAN!$A$2:$D$3,4,0)),0),0)</f>
        <v>0</v>
      </c>
      <c r="I6456" s="137">
        <f>ROUNDDOWN(I6454+I6455,0)</f>
        <v>300388</v>
      </c>
    </row>
    <row r="6457" spans="1:10" ht="15.95" customHeight="1" x14ac:dyDescent="0.25">
      <c r="C6457" s="109"/>
      <c r="D6457" s="109"/>
      <c r="G6457" s="157"/>
    </row>
    <row r="6458" spans="1:10" ht="15.95" customHeight="1" x14ac:dyDescent="0.25">
      <c r="A6458" s="167" t="s">
        <v>1377</v>
      </c>
      <c r="B6458" s="168" t="s">
        <v>1378</v>
      </c>
      <c r="G6458" s="157"/>
    </row>
    <row r="6459" spans="1:10" ht="15.95" customHeight="1" thickBot="1" x14ac:dyDescent="0.3">
      <c r="B6459" s="109" t="s">
        <v>1379</v>
      </c>
      <c r="C6459" s="104" t="s">
        <v>1380</v>
      </c>
      <c r="G6459" s="157"/>
      <c r="J6459" s="110">
        <f>I6474</f>
        <v>465201</v>
      </c>
    </row>
    <row r="6460" spans="1:10" ht="15.95" customHeight="1" thickBot="1" x14ac:dyDescent="0.3">
      <c r="C6460" s="111" t="s">
        <v>328</v>
      </c>
      <c r="D6460" s="112" t="s">
        <v>359</v>
      </c>
      <c r="E6460" s="113" t="s">
        <v>360</v>
      </c>
      <c r="F6460" s="113" t="s">
        <v>330</v>
      </c>
      <c r="G6460" s="114" t="s">
        <v>361</v>
      </c>
      <c r="H6460" s="112" t="s">
        <v>362</v>
      </c>
      <c r="I6460" s="115" t="s">
        <v>363</v>
      </c>
    </row>
    <row r="6461" spans="1:10" ht="15.95" customHeight="1" x14ac:dyDescent="0.25">
      <c r="C6461" s="116" t="s">
        <v>364</v>
      </c>
      <c r="D6461" s="117" t="s">
        <v>365</v>
      </c>
      <c r="E6461" s="118"/>
      <c r="F6461" s="118"/>
      <c r="G6461" s="165"/>
      <c r="H6461" s="144"/>
      <c r="I6461" s="126"/>
    </row>
    <row r="6462" spans="1:10" ht="15.95" customHeight="1" x14ac:dyDescent="0.25">
      <c r="C6462" s="122"/>
      <c r="D6462" s="117" t="s">
        <v>366</v>
      </c>
      <c r="E6462" s="123" t="s">
        <v>367</v>
      </c>
      <c r="F6462" s="123" t="s">
        <v>368</v>
      </c>
      <c r="G6462" s="242">
        <v>0.06</v>
      </c>
      <c r="H6462" s="125">
        <f>VLOOKUP(D6462,Upah,8,FALSE)</f>
        <v>125000</v>
      </c>
      <c r="I6462" s="126">
        <f>G6462*H6462</f>
        <v>7500</v>
      </c>
    </row>
    <row r="6463" spans="1:10" ht="15.95" customHeight="1" x14ac:dyDescent="0.25">
      <c r="C6463" s="122"/>
      <c r="D6463" s="117" t="s">
        <v>611</v>
      </c>
      <c r="E6463" s="123" t="s">
        <v>370</v>
      </c>
      <c r="F6463" s="123" t="s">
        <v>368</v>
      </c>
      <c r="G6463" s="242">
        <v>0.6</v>
      </c>
      <c r="H6463" s="125">
        <f>VLOOKUP(D6463,Upah,8,FALSE)</f>
        <v>150000</v>
      </c>
      <c r="I6463" s="126">
        <f>G6463*H6463</f>
        <v>90000</v>
      </c>
    </row>
    <row r="6464" spans="1:10" ht="15.95" customHeight="1" x14ac:dyDescent="0.25">
      <c r="C6464" s="122"/>
      <c r="D6464" s="117" t="s">
        <v>429</v>
      </c>
      <c r="E6464" s="123" t="s">
        <v>372</v>
      </c>
      <c r="F6464" s="123" t="s">
        <v>368</v>
      </c>
      <c r="G6464" s="242">
        <v>0.06</v>
      </c>
      <c r="H6464" s="125">
        <f>VLOOKUP(D6464,Upah,8,FALSE)</f>
        <v>165000</v>
      </c>
      <c r="I6464" s="126">
        <f>G6464*H6464</f>
        <v>9900</v>
      </c>
    </row>
    <row r="6465" spans="2:10" ht="15.95" customHeight="1" thickBot="1" x14ac:dyDescent="0.3">
      <c r="C6465" s="122"/>
      <c r="D6465" s="117" t="s">
        <v>373</v>
      </c>
      <c r="E6465" s="123" t="s">
        <v>374</v>
      </c>
      <c r="F6465" s="123" t="s">
        <v>368</v>
      </c>
      <c r="G6465" s="242">
        <v>3.0000000000000001E-3</v>
      </c>
      <c r="H6465" s="125">
        <f>VLOOKUP(D6465,Upah,8,FALSE)</f>
        <v>170000</v>
      </c>
      <c r="I6465" s="126">
        <f>G6465*H6465</f>
        <v>510</v>
      </c>
    </row>
    <row r="6466" spans="2:10" ht="15.95" customHeight="1" thickBot="1" x14ac:dyDescent="0.3">
      <c r="C6466" s="132"/>
      <c r="D6466" s="133"/>
      <c r="E6466" s="134"/>
      <c r="F6466" s="134"/>
      <c r="G6466" s="135" t="s">
        <v>375</v>
      </c>
      <c r="H6466" s="136"/>
      <c r="I6466" s="137">
        <f>SUM(I6462:I6465)</f>
        <v>107910</v>
      </c>
    </row>
    <row r="6467" spans="2:10" ht="15.95" customHeight="1" x14ac:dyDescent="0.25">
      <c r="C6467" s="116" t="s">
        <v>376</v>
      </c>
      <c r="D6467" s="117" t="s">
        <v>377</v>
      </c>
      <c r="E6467" s="118"/>
      <c r="F6467" s="118"/>
      <c r="G6467" s="165"/>
      <c r="H6467" s="144"/>
      <c r="I6467" s="126"/>
    </row>
    <row r="6468" spans="2:10" ht="15.95" customHeight="1" thickBot="1" x14ac:dyDescent="0.3">
      <c r="C6468" s="122"/>
      <c r="D6468" s="117" t="s">
        <v>1381</v>
      </c>
      <c r="E6468" s="118"/>
      <c r="F6468" s="123" t="s">
        <v>418</v>
      </c>
      <c r="G6468" s="242">
        <v>1</v>
      </c>
      <c r="H6468" s="144">
        <f>VLOOKUP(D6468,Bahan,6,FALSE)</f>
        <v>315000</v>
      </c>
      <c r="I6468" s="126">
        <f>G6468*H6468</f>
        <v>315000</v>
      </c>
    </row>
    <row r="6469" spans="2:10" ht="15.95" customHeight="1" thickBot="1" x14ac:dyDescent="0.3">
      <c r="C6469" s="132"/>
      <c r="D6469" s="133"/>
      <c r="E6469" s="134"/>
      <c r="F6469" s="134"/>
      <c r="G6469" s="135" t="s">
        <v>386</v>
      </c>
      <c r="H6469" s="136"/>
      <c r="I6469" s="137">
        <f>SUM(I6467:I6468)</f>
        <v>315000</v>
      </c>
    </row>
    <row r="6470" spans="2:10" ht="15.95" customHeight="1" thickBot="1" x14ac:dyDescent="0.3">
      <c r="C6470" s="116" t="s">
        <v>387</v>
      </c>
      <c r="D6470" s="117" t="s">
        <v>388</v>
      </c>
      <c r="E6470" s="118"/>
      <c r="F6470" s="118"/>
      <c r="G6470" s="165"/>
      <c r="H6470" s="144">
        <f>IF(AND(D6470&lt;&gt;"",F6470&lt;&gt;""),IF(C6470="",IF(F6470="OH",VLOOKUP(D6470,[1]UPAH!$B$3:$G$32,7,0),VLOOKUP(D6470,[1]BAHAN!$A$2:$D$3,4,0)),0),0)</f>
        <v>0</v>
      </c>
      <c r="I6470" s="126">
        <f>G6470*H6470</f>
        <v>0</v>
      </c>
    </row>
    <row r="6471" spans="2:10" ht="15.95" customHeight="1" thickBot="1" x14ac:dyDescent="0.3">
      <c r="C6471" s="132"/>
      <c r="D6471" s="133"/>
      <c r="E6471" s="134"/>
      <c r="F6471" s="134"/>
      <c r="G6471" s="135" t="s">
        <v>389</v>
      </c>
      <c r="H6471" s="136"/>
      <c r="I6471" s="137">
        <f>I6470</f>
        <v>0</v>
      </c>
    </row>
    <row r="6472" spans="2:10" ht="15.95" customHeight="1" x14ac:dyDescent="0.25">
      <c r="C6472" s="158" t="s">
        <v>390</v>
      </c>
      <c r="D6472" s="159" t="s">
        <v>391</v>
      </c>
      <c r="E6472" s="160"/>
      <c r="F6472" s="160"/>
      <c r="G6472" s="161"/>
      <c r="H6472" s="162">
        <f>IF(AND(D6472&lt;&gt;"",F6472&lt;&gt;""),IF(C6472="",IF(F6472="OH",VLOOKUP(D6472,[1]UPAH!$B$3:$G$32,7,0),VLOOKUP(D6472,[1]BAHAN!$A$2:$D$3,4,0)),0),0)</f>
        <v>0</v>
      </c>
      <c r="I6472" s="126">
        <f>SUM(I6461:I6471)/2</f>
        <v>422910</v>
      </c>
    </row>
    <row r="6473" spans="2:10" ht="15.95" customHeight="1" thickBot="1" x14ac:dyDescent="0.3">
      <c r="C6473" s="147" t="s">
        <v>392</v>
      </c>
      <c r="D6473" s="148" t="s">
        <v>393</v>
      </c>
      <c r="E6473" s="149"/>
      <c r="F6473" s="149"/>
      <c r="G6473" s="164">
        <v>0.1</v>
      </c>
      <c r="H6473" s="151"/>
      <c r="I6473" s="146">
        <f>G6473*I6472</f>
        <v>42291</v>
      </c>
    </row>
    <row r="6474" spans="2:10" ht="15.95" customHeight="1" thickBot="1" x14ac:dyDescent="0.3">
      <c r="C6474" s="111" t="s">
        <v>394</v>
      </c>
      <c r="D6474" s="112" t="s">
        <v>395</v>
      </c>
      <c r="E6474" s="134"/>
      <c r="F6474" s="134"/>
      <c r="G6474" s="156"/>
      <c r="H6474" s="136">
        <f>IF(AND(D6474&lt;&gt;"",F6474&lt;&gt;""),IF(C6474="",IF(F6474="OH",VLOOKUP(D6474,[1]UPAH!$B$3:$G$32,7,0),VLOOKUP(D6474,[1]BAHAN!$A$2:$D$3,4,0)),0),0)</f>
        <v>0</v>
      </c>
      <c r="I6474" s="137">
        <f>ROUNDDOWN(I6472+I6473,0)</f>
        <v>465201</v>
      </c>
    </row>
    <row r="6475" spans="2:10" ht="15.95" customHeight="1" x14ac:dyDescent="0.25">
      <c r="C6475" s="109"/>
      <c r="D6475" s="109"/>
      <c r="G6475" s="157"/>
    </row>
    <row r="6476" spans="2:10" ht="15.95" customHeight="1" thickBot="1" x14ac:dyDescent="0.3">
      <c r="B6476" s="247" t="s">
        <v>1382</v>
      </c>
      <c r="C6476" s="104" t="s">
        <v>1383</v>
      </c>
      <c r="G6476" s="157"/>
      <c r="J6476" s="110">
        <f>I6491</f>
        <v>269775</v>
      </c>
    </row>
    <row r="6477" spans="2:10" ht="15.95" customHeight="1" thickBot="1" x14ac:dyDescent="0.3">
      <c r="C6477" s="111" t="s">
        <v>328</v>
      </c>
      <c r="D6477" s="112" t="s">
        <v>359</v>
      </c>
      <c r="E6477" s="113" t="s">
        <v>360</v>
      </c>
      <c r="F6477" s="113" t="s">
        <v>330</v>
      </c>
      <c r="G6477" s="114" t="s">
        <v>361</v>
      </c>
      <c r="H6477" s="112" t="s">
        <v>362</v>
      </c>
      <c r="I6477" s="115" t="s">
        <v>363</v>
      </c>
    </row>
    <row r="6478" spans="2:10" ht="15.95" customHeight="1" x14ac:dyDescent="0.25">
      <c r="C6478" s="116" t="s">
        <v>364</v>
      </c>
      <c r="D6478" s="117" t="s">
        <v>365</v>
      </c>
      <c r="E6478" s="118"/>
      <c r="F6478" s="118"/>
      <c r="G6478" s="165"/>
      <c r="H6478" s="144"/>
      <c r="I6478" s="126"/>
    </row>
    <row r="6479" spans="2:10" ht="15.95" customHeight="1" x14ac:dyDescent="0.25">
      <c r="C6479" s="122"/>
      <c r="D6479" s="117" t="s">
        <v>366</v>
      </c>
      <c r="E6479" s="123" t="s">
        <v>367</v>
      </c>
      <c r="F6479" s="123" t="s">
        <v>368</v>
      </c>
      <c r="G6479" s="242">
        <v>0.01</v>
      </c>
      <c r="H6479" s="125">
        <f>VLOOKUP(D6479,Upah,8,FALSE)</f>
        <v>125000</v>
      </c>
      <c r="I6479" s="126">
        <f>G6479*H6479</f>
        <v>1250</v>
      </c>
    </row>
    <row r="6480" spans="2:10" ht="15.95" customHeight="1" x14ac:dyDescent="0.25">
      <c r="C6480" s="122"/>
      <c r="D6480" s="117" t="s">
        <v>611</v>
      </c>
      <c r="E6480" s="123" t="s">
        <v>370</v>
      </c>
      <c r="F6480" s="123" t="s">
        <v>368</v>
      </c>
      <c r="G6480" s="242">
        <v>0.5</v>
      </c>
      <c r="H6480" s="125">
        <f>VLOOKUP(D6480,Upah,8,FALSE)</f>
        <v>150000</v>
      </c>
      <c r="I6480" s="126">
        <f>G6480*H6480</f>
        <v>75000</v>
      </c>
    </row>
    <row r="6481" spans="2:10" ht="15.95" customHeight="1" x14ac:dyDescent="0.25">
      <c r="C6481" s="122"/>
      <c r="D6481" s="117" t="s">
        <v>429</v>
      </c>
      <c r="E6481" s="123" t="s">
        <v>372</v>
      </c>
      <c r="F6481" s="123" t="s">
        <v>368</v>
      </c>
      <c r="G6481" s="242">
        <v>0.05</v>
      </c>
      <c r="H6481" s="125">
        <f>VLOOKUP(D6481,Upah,8,FALSE)</f>
        <v>165000</v>
      </c>
      <c r="I6481" s="126">
        <f>G6481*H6481</f>
        <v>8250</v>
      </c>
    </row>
    <row r="6482" spans="2:10" ht="15.95" customHeight="1" thickBot="1" x14ac:dyDescent="0.3">
      <c r="C6482" s="122"/>
      <c r="D6482" s="117" t="s">
        <v>373</v>
      </c>
      <c r="E6482" s="123" t="s">
        <v>374</v>
      </c>
      <c r="F6482" s="123" t="s">
        <v>368</v>
      </c>
      <c r="G6482" s="242">
        <v>5.0000000000000001E-3</v>
      </c>
      <c r="H6482" s="125">
        <f>VLOOKUP(D6482,Upah,8,FALSE)</f>
        <v>170000</v>
      </c>
      <c r="I6482" s="126">
        <f>G6482*H6482</f>
        <v>850</v>
      </c>
    </row>
    <row r="6483" spans="2:10" ht="15.95" customHeight="1" thickBot="1" x14ac:dyDescent="0.3">
      <c r="C6483" s="132"/>
      <c r="D6483" s="133"/>
      <c r="E6483" s="134"/>
      <c r="F6483" s="134"/>
      <c r="G6483" s="135" t="s">
        <v>375</v>
      </c>
      <c r="H6483" s="136"/>
      <c r="I6483" s="137">
        <f>SUM(I6479:I6482)</f>
        <v>85350</v>
      </c>
    </row>
    <row r="6484" spans="2:10" ht="15.95" customHeight="1" x14ac:dyDescent="0.25">
      <c r="C6484" s="116" t="s">
        <v>376</v>
      </c>
      <c r="D6484" s="117" t="s">
        <v>377</v>
      </c>
      <c r="E6484" s="118"/>
      <c r="F6484" s="118"/>
      <c r="G6484" s="165"/>
      <c r="H6484" s="144"/>
      <c r="I6484" s="126"/>
    </row>
    <row r="6485" spans="2:10" ht="15.95" customHeight="1" thickBot="1" x14ac:dyDescent="0.3">
      <c r="C6485" s="122"/>
      <c r="D6485" s="117" t="s">
        <v>1384</v>
      </c>
      <c r="E6485" s="118"/>
      <c r="F6485" s="123" t="s">
        <v>418</v>
      </c>
      <c r="G6485" s="242">
        <v>1</v>
      </c>
      <c r="H6485" s="144">
        <f>VLOOKUP(D6485,Bahan,6,FALSE)</f>
        <v>159900</v>
      </c>
      <c r="I6485" s="126">
        <f>G6485*H6485</f>
        <v>159900</v>
      </c>
    </row>
    <row r="6486" spans="2:10" ht="15.95" customHeight="1" thickBot="1" x14ac:dyDescent="0.3">
      <c r="C6486" s="132"/>
      <c r="D6486" s="133"/>
      <c r="E6486" s="134"/>
      <c r="F6486" s="134"/>
      <c r="G6486" s="135" t="s">
        <v>386</v>
      </c>
      <c r="H6486" s="136"/>
      <c r="I6486" s="137">
        <f>SUM(I6484:I6485)</f>
        <v>159900</v>
      </c>
    </row>
    <row r="6487" spans="2:10" ht="15.95" customHeight="1" thickBot="1" x14ac:dyDescent="0.3">
      <c r="C6487" s="116" t="s">
        <v>387</v>
      </c>
      <c r="D6487" s="117" t="s">
        <v>388</v>
      </c>
      <c r="E6487" s="118"/>
      <c r="F6487" s="118"/>
      <c r="G6487" s="165"/>
      <c r="H6487" s="144">
        <f>IF(AND(D6487&lt;&gt;"",F6487&lt;&gt;""),IF(C6487="",IF(F6487="OH",VLOOKUP(D6487,[1]UPAH!$B$3:$G$32,7,0),VLOOKUP(D6487,[1]BAHAN!$A$2:$D$3,4,0)),0),0)</f>
        <v>0</v>
      </c>
      <c r="I6487" s="126">
        <f>G6487*H6487</f>
        <v>0</v>
      </c>
    </row>
    <row r="6488" spans="2:10" ht="15.95" customHeight="1" thickBot="1" x14ac:dyDescent="0.3">
      <c r="C6488" s="132"/>
      <c r="D6488" s="133"/>
      <c r="E6488" s="134"/>
      <c r="F6488" s="134"/>
      <c r="G6488" s="135" t="s">
        <v>389</v>
      </c>
      <c r="H6488" s="136"/>
      <c r="I6488" s="137">
        <f>I6487</f>
        <v>0</v>
      </c>
    </row>
    <row r="6489" spans="2:10" ht="15.95" customHeight="1" x14ac:dyDescent="0.25">
      <c r="C6489" s="158" t="s">
        <v>390</v>
      </c>
      <c r="D6489" s="159" t="s">
        <v>391</v>
      </c>
      <c r="E6489" s="160"/>
      <c r="F6489" s="160"/>
      <c r="G6489" s="161"/>
      <c r="H6489" s="162">
        <f>IF(AND(D6489&lt;&gt;"",F6489&lt;&gt;""),IF(C6489="",IF(F6489="OH",VLOOKUP(D6489,[1]UPAH!$B$3:$G$32,7,0),VLOOKUP(D6489,[1]BAHAN!$A$2:$D$3,4,0)),0),0)</f>
        <v>0</v>
      </c>
      <c r="I6489" s="126">
        <f>SUM(I6478:I6488)/2</f>
        <v>245250</v>
      </c>
    </row>
    <row r="6490" spans="2:10" ht="15.95" customHeight="1" thickBot="1" x14ac:dyDescent="0.3">
      <c r="C6490" s="147" t="s">
        <v>392</v>
      </c>
      <c r="D6490" s="148" t="s">
        <v>393</v>
      </c>
      <c r="E6490" s="149"/>
      <c r="F6490" s="149"/>
      <c r="G6490" s="164">
        <v>0.1</v>
      </c>
      <c r="H6490" s="151"/>
      <c r="I6490" s="146">
        <f>G6490*I6489</f>
        <v>24525</v>
      </c>
    </row>
    <row r="6491" spans="2:10" ht="15.95" customHeight="1" thickBot="1" x14ac:dyDescent="0.3">
      <c r="C6491" s="111" t="s">
        <v>394</v>
      </c>
      <c r="D6491" s="112" t="s">
        <v>395</v>
      </c>
      <c r="E6491" s="134"/>
      <c r="F6491" s="134"/>
      <c r="G6491" s="156"/>
      <c r="H6491" s="136">
        <f>IF(AND(D6491&lt;&gt;"",F6491&lt;&gt;""),IF(C6491="",IF(F6491="OH",VLOOKUP(D6491,[1]UPAH!$B$3:$G$32,7,0),VLOOKUP(D6491,[1]BAHAN!$A$2:$D$3,4,0)),0),0)</f>
        <v>0</v>
      </c>
      <c r="I6491" s="137">
        <f>ROUNDDOWN(I6489+I6490,0)</f>
        <v>269775</v>
      </c>
    </row>
    <row r="6492" spans="2:10" ht="15.95" customHeight="1" x14ac:dyDescent="0.25">
      <c r="C6492" s="109"/>
      <c r="D6492" s="109"/>
      <c r="G6492" s="157"/>
    </row>
    <row r="6493" spans="2:10" ht="15.95" customHeight="1" thickBot="1" x14ac:dyDescent="0.3">
      <c r="B6493" s="247" t="s">
        <v>1385</v>
      </c>
      <c r="C6493" s="104" t="s">
        <v>1386</v>
      </c>
      <c r="G6493" s="157"/>
      <c r="J6493" s="110">
        <f>I6508</f>
        <v>157173</v>
      </c>
    </row>
    <row r="6494" spans="2:10" ht="15.95" customHeight="1" thickBot="1" x14ac:dyDescent="0.3">
      <c r="C6494" s="111" t="s">
        <v>328</v>
      </c>
      <c r="D6494" s="112" t="s">
        <v>359</v>
      </c>
      <c r="E6494" s="113" t="s">
        <v>360</v>
      </c>
      <c r="F6494" s="113" t="s">
        <v>330</v>
      </c>
      <c r="G6494" s="114" t="s">
        <v>361</v>
      </c>
      <c r="H6494" s="112" t="s">
        <v>362</v>
      </c>
      <c r="I6494" s="115" t="s">
        <v>363</v>
      </c>
    </row>
    <row r="6495" spans="2:10" ht="15.95" customHeight="1" x14ac:dyDescent="0.25">
      <c r="C6495" s="116" t="s">
        <v>364</v>
      </c>
      <c r="D6495" s="117" t="s">
        <v>365</v>
      </c>
      <c r="E6495" s="118"/>
      <c r="F6495" s="118"/>
      <c r="G6495" s="165"/>
      <c r="H6495" s="144"/>
      <c r="I6495" s="126"/>
    </row>
    <row r="6496" spans="2:10" ht="15.95" customHeight="1" x14ac:dyDescent="0.25">
      <c r="C6496" s="122"/>
      <c r="D6496" s="117" t="s">
        <v>366</v>
      </c>
      <c r="E6496" s="123" t="s">
        <v>367</v>
      </c>
      <c r="F6496" s="123" t="s">
        <v>368</v>
      </c>
      <c r="G6496" s="242">
        <v>5.0000000000000001E-3</v>
      </c>
      <c r="H6496" s="125">
        <f>VLOOKUP(D6496,Upah,8,FALSE)</f>
        <v>125000</v>
      </c>
      <c r="I6496" s="126">
        <f>G6496*H6496</f>
        <v>625</v>
      </c>
    </row>
    <row r="6497" spans="2:10" ht="15.95" customHeight="1" x14ac:dyDescent="0.25">
      <c r="C6497" s="122"/>
      <c r="D6497" s="117" t="s">
        <v>611</v>
      </c>
      <c r="E6497" s="123" t="s">
        <v>370</v>
      </c>
      <c r="F6497" s="123" t="s">
        <v>368</v>
      </c>
      <c r="G6497" s="242">
        <v>0.5</v>
      </c>
      <c r="H6497" s="125">
        <f>VLOOKUP(D6497,Upah,8,FALSE)</f>
        <v>150000</v>
      </c>
      <c r="I6497" s="126">
        <f>G6497*H6497</f>
        <v>75000</v>
      </c>
    </row>
    <row r="6498" spans="2:10" ht="15.95" customHeight="1" x14ac:dyDescent="0.25">
      <c r="C6498" s="122"/>
      <c r="D6498" s="117" t="s">
        <v>429</v>
      </c>
      <c r="E6498" s="123" t="s">
        <v>372</v>
      </c>
      <c r="F6498" s="123" t="s">
        <v>368</v>
      </c>
      <c r="G6498" s="242">
        <v>0.05</v>
      </c>
      <c r="H6498" s="125">
        <f>VLOOKUP(D6498,Upah,8,FALSE)</f>
        <v>165000</v>
      </c>
      <c r="I6498" s="126">
        <f>G6498*H6498</f>
        <v>8250</v>
      </c>
    </row>
    <row r="6499" spans="2:10" ht="15.95" customHeight="1" thickBot="1" x14ac:dyDescent="0.3">
      <c r="C6499" s="122"/>
      <c r="D6499" s="117" t="s">
        <v>373</v>
      </c>
      <c r="E6499" s="123" t="s">
        <v>374</v>
      </c>
      <c r="F6499" s="123" t="s">
        <v>368</v>
      </c>
      <c r="G6499" s="242">
        <v>3.0000000000000001E-3</v>
      </c>
      <c r="H6499" s="125">
        <f>VLOOKUP(D6499,Upah,8,FALSE)</f>
        <v>170000</v>
      </c>
      <c r="I6499" s="126">
        <f>G6499*H6499</f>
        <v>510</v>
      </c>
    </row>
    <row r="6500" spans="2:10" ht="15.95" customHeight="1" thickBot="1" x14ac:dyDescent="0.3">
      <c r="C6500" s="132"/>
      <c r="D6500" s="133"/>
      <c r="E6500" s="134"/>
      <c r="F6500" s="134"/>
      <c r="G6500" s="135" t="s">
        <v>375</v>
      </c>
      <c r="H6500" s="136"/>
      <c r="I6500" s="137">
        <f>SUM(I6496:I6499)</f>
        <v>84385</v>
      </c>
    </row>
    <row r="6501" spans="2:10" ht="15.95" customHeight="1" x14ac:dyDescent="0.25">
      <c r="C6501" s="116" t="s">
        <v>376</v>
      </c>
      <c r="D6501" s="117" t="s">
        <v>377</v>
      </c>
      <c r="E6501" s="118"/>
      <c r="F6501" s="118"/>
      <c r="G6501" s="165"/>
      <c r="H6501" s="144"/>
      <c r="I6501" s="126"/>
    </row>
    <row r="6502" spans="2:10" ht="15.95" customHeight="1" thickBot="1" x14ac:dyDescent="0.3">
      <c r="C6502" s="122"/>
      <c r="D6502" s="117" t="s">
        <v>1387</v>
      </c>
      <c r="E6502" s="118"/>
      <c r="F6502" s="123" t="s">
        <v>418</v>
      </c>
      <c r="G6502" s="242">
        <v>1</v>
      </c>
      <c r="H6502" s="144">
        <f>VLOOKUP(D6502,Bahan,6,FALSE)</f>
        <v>58500</v>
      </c>
      <c r="I6502" s="126">
        <f>G6502*H6502</f>
        <v>58500</v>
      </c>
    </row>
    <row r="6503" spans="2:10" ht="15.95" customHeight="1" thickBot="1" x14ac:dyDescent="0.3">
      <c r="C6503" s="132"/>
      <c r="D6503" s="133"/>
      <c r="E6503" s="134"/>
      <c r="F6503" s="134"/>
      <c r="G6503" s="135" t="s">
        <v>386</v>
      </c>
      <c r="H6503" s="136"/>
      <c r="I6503" s="137">
        <f>SUM(I6501:I6502)</f>
        <v>58500</v>
      </c>
    </row>
    <row r="6504" spans="2:10" ht="15.95" customHeight="1" thickBot="1" x14ac:dyDescent="0.3">
      <c r="C6504" s="116" t="s">
        <v>387</v>
      </c>
      <c r="D6504" s="117" t="s">
        <v>388</v>
      </c>
      <c r="E6504" s="118"/>
      <c r="F6504" s="118"/>
      <c r="G6504" s="165"/>
      <c r="H6504" s="144">
        <f>IF(AND(D6504&lt;&gt;"",F6504&lt;&gt;""),IF(C6504="",IF(F6504="OH",VLOOKUP(D6504,[1]UPAH!$B$3:$G$32,7,0),VLOOKUP(D6504,[1]BAHAN!$A$2:$D$3,4,0)),0),0)</f>
        <v>0</v>
      </c>
      <c r="I6504" s="126">
        <f>G6504*H6504</f>
        <v>0</v>
      </c>
    </row>
    <row r="6505" spans="2:10" ht="15.95" customHeight="1" thickBot="1" x14ac:dyDescent="0.3">
      <c r="C6505" s="132"/>
      <c r="D6505" s="133"/>
      <c r="E6505" s="134"/>
      <c r="F6505" s="134"/>
      <c r="G6505" s="135" t="s">
        <v>389</v>
      </c>
      <c r="H6505" s="136"/>
      <c r="I6505" s="137">
        <f>I6504</f>
        <v>0</v>
      </c>
    </row>
    <row r="6506" spans="2:10" ht="15.95" customHeight="1" x14ac:dyDescent="0.25">
      <c r="C6506" s="158" t="s">
        <v>390</v>
      </c>
      <c r="D6506" s="159" t="s">
        <v>391</v>
      </c>
      <c r="E6506" s="160"/>
      <c r="F6506" s="160"/>
      <c r="G6506" s="161"/>
      <c r="H6506" s="162">
        <f>IF(AND(D6506&lt;&gt;"",F6506&lt;&gt;""),IF(C6506="",IF(F6506="OH",VLOOKUP(D6506,[1]UPAH!$B$3:$G$32,7,0),VLOOKUP(D6506,[1]BAHAN!$A$2:$D$3,4,0)),0),0)</f>
        <v>0</v>
      </c>
      <c r="I6506" s="126">
        <f>SUM(I6495:I6505)/2</f>
        <v>142885</v>
      </c>
    </row>
    <row r="6507" spans="2:10" ht="15.95" customHeight="1" thickBot="1" x14ac:dyDescent="0.3">
      <c r="C6507" s="147" t="s">
        <v>392</v>
      </c>
      <c r="D6507" s="148" t="s">
        <v>393</v>
      </c>
      <c r="E6507" s="149"/>
      <c r="F6507" s="149"/>
      <c r="G6507" s="164">
        <v>0.1</v>
      </c>
      <c r="H6507" s="151"/>
      <c r="I6507" s="146">
        <f>G6507*I6506</f>
        <v>14288.5</v>
      </c>
    </row>
    <row r="6508" spans="2:10" ht="15.95" customHeight="1" thickBot="1" x14ac:dyDescent="0.3">
      <c r="C6508" s="111" t="s">
        <v>394</v>
      </c>
      <c r="D6508" s="112" t="s">
        <v>395</v>
      </c>
      <c r="E6508" s="134"/>
      <c r="F6508" s="134"/>
      <c r="G6508" s="156"/>
      <c r="H6508" s="136">
        <f>IF(AND(D6508&lt;&gt;"",F6508&lt;&gt;""),IF(C6508="",IF(F6508="OH",VLOOKUP(D6508,[1]UPAH!$B$3:$G$32,7,0),VLOOKUP(D6508,[1]BAHAN!$A$2:$D$3,4,0)),0),0)</f>
        <v>0</v>
      </c>
      <c r="I6508" s="137">
        <f>ROUNDDOWN(I6506+I6507,0)</f>
        <v>157173</v>
      </c>
    </row>
    <row r="6509" spans="2:10" ht="15.95" customHeight="1" x14ac:dyDescent="0.25">
      <c r="C6509" s="109"/>
      <c r="D6509" s="109"/>
      <c r="G6509" s="157"/>
    </row>
    <row r="6510" spans="2:10" ht="15.95" customHeight="1" thickBot="1" x14ac:dyDescent="0.3">
      <c r="B6510" s="109" t="s">
        <v>1388</v>
      </c>
      <c r="C6510" s="104" t="s">
        <v>1389</v>
      </c>
      <c r="G6510" s="157"/>
      <c r="J6510" s="110">
        <f>I6525</f>
        <v>189348</v>
      </c>
    </row>
    <row r="6511" spans="2:10" ht="15.95" customHeight="1" thickBot="1" x14ac:dyDescent="0.3">
      <c r="C6511" s="111" t="s">
        <v>328</v>
      </c>
      <c r="D6511" s="112" t="s">
        <v>359</v>
      </c>
      <c r="E6511" s="113" t="s">
        <v>360</v>
      </c>
      <c r="F6511" s="113" t="s">
        <v>330</v>
      </c>
      <c r="G6511" s="114" t="s">
        <v>361</v>
      </c>
      <c r="H6511" s="112" t="s">
        <v>362</v>
      </c>
      <c r="I6511" s="115" t="s">
        <v>363</v>
      </c>
    </row>
    <row r="6512" spans="2:10" ht="15.95" customHeight="1" x14ac:dyDescent="0.25">
      <c r="C6512" s="116" t="s">
        <v>364</v>
      </c>
      <c r="D6512" s="117" t="s">
        <v>365</v>
      </c>
      <c r="E6512" s="118"/>
      <c r="F6512" s="118"/>
      <c r="G6512" s="165"/>
      <c r="H6512" s="144"/>
      <c r="I6512" s="126"/>
    </row>
    <row r="6513" spans="2:10" ht="15.95" customHeight="1" x14ac:dyDescent="0.25">
      <c r="C6513" s="122"/>
      <c r="D6513" s="117" t="s">
        <v>366</v>
      </c>
      <c r="E6513" s="123" t="s">
        <v>367</v>
      </c>
      <c r="F6513" s="123" t="s">
        <v>368</v>
      </c>
      <c r="G6513" s="242">
        <v>5.0000000000000001E-3</v>
      </c>
      <c r="H6513" s="125">
        <f>VLOOKUP(D6513,Upah,8,FALSE)</f>
        <v>125000</v>
      </c>
      <c r="I6513" s="126">
        <f>G6513*H6513</f>
        <v>625</v>
      </c>
    </row>
    <row r="6514" spans="2:10" ht="15.95" customHeight="1" x14ac:dyDescent="0.25">
      <c r="C6514" s="122"/>
      <c r="D6514" s="117" t="s">
        <v>611</v>
      </c>
      <c r="E6514" s="123" t="s">
        <v>370</v>
      </c>
      <c r="F6514" s="123" t="s">
        <v>368</v>
      </c>
      <c r="G6514" s="242">
        <v>0.5</v>
      </c>
      <c r="H6514" s="125">
        <f>VLOOKUP(D6514,Upah,8,FALSE)</f>
        <v>150000</v>
      </c>
      <c r="I6514" s="126">
        <f>G6514*H6514</f>
        <v>75000</v>
      </c>
    </row>
    <row r="6515" spans="2:10" ht="15.95" customHeight="1" x14ac:dyDescent="0.25">
      <c r="C6515" s="122"/>
      <c r="D6515" s="117" t="s">
        <v>429</v>
      </c>
      <c r="E6515" s="123" t="s">
        <v>372</v>
      </c>
      <c r="F6515" s="123" t="s">
        <v>368</v>
      </c>
      <c r="G6515" s="242">
        <v>0.05</v>
      </c>
      <c r="H6515" s="125">
        <f>VLOOKUP(D6515,Upah,8,FALSE)</f>
        <v>165000</v>
      </c>
      <c r="I6515" s="126">
        <f>G6515*H6515</f>
        <v>8250</v>
      </c>
    </row>
    <row r="6516" spans="2:10" ht="15.95" customHeight="1" thickBot="1" x14ac:dyDescent="0.3">
      <c r="C6516" s="122"/>
      <c r="D6516" s="117" t="s">
        <v>373</v>
      </c>
      <c r="E6516" s="123" t="s">
        <v>374</v>
      </c>
      <c r="F6516" s="123" t="s">
        <v>368</v>
      </c>
      <c r="G6516" s="242">
        <v>3.0000000000000001E-3</v>
      </c>
      <c r="H6516" s="125">
        <f>VLOOKUP(D6516,Upah,8,FALSE)</f>
        <v>170000</v>
      </c>
      <c r="I6516" s="126">
        <f>G6516*H6516</f>
        <v>510</v>
      </c>
    </row>
    <row r="6517" spans="2:10" ht="15.95" customHeight="1" thickBot="1" x14ac:dyDescent="0.3">
      <c r="C6517" s="132"/>
      <c r="D6517" s="133"/>
      <c r="E6517" s="134"/>
      <c r="F6517" s="134"/>
      <c r="G6517" s="135" t="s">
        <v>375</v>
      </c>
      <c r="H6517" s="136"/>
      <c r="I6517" s="137">
        <f>SUM(I6513:I6516)</f>
        <v>84385</v>
      </c>
    </row>
    <row r="6518" spans="2:10" ht="15.95" customHeight="1" x14ac:dyDescent="0.25">
      <c r="C6518" s="116" t="s">
        <v>376</v>
      </c>
      <c r="D6518" s="117" t="s">
        <v>377</v>
      </c>
      <c r="E6518" s="118"/>
      <c r="F6518" s="118"/>
      <c r="G6518" s="165"/>
      <c r="H6518" s="144"/>
      <c r="I6518" s="126"/>
    </row>
    <row r="6519" spans="2:10" ht="15.95" customHeight="1" thickBot="1" x14ac:dyDescent="0.3">
      <c r="C6519" s="122"/>
      <c r="D6519" s="117" t="s">
        <v>1390</v>
      </c>
      <c r="E6519" s="118"/>
      <c r="F6519" s="123" t="s">
        <v>418</v>
      </c>
      <c r="G6519" s="242">
        <v>1</v>
      </c>
      <c r="H6519" s="144">
        <f>VLOOKUP(D6519,Bahan,6,FALSE)</f>
        <v>87750</v>
      </c>
      <c r="I6519" s="126">
        <f>G6519*H6519</f>
        <v>87750</v>
      </c>
    </row>
    <row r="6520" spans="2:10" ht="15.95" customHeight="1" thickBot="1" x14ac:dyDescent="0.3">
      <c r="C6520" s="132"/>
      <c r="D6520" s="133"/>
      <c r="E6520" s="134"/>
      <c r="F6520" s="134"/>
      <c r="G6520" s="135" t="s">
        <v>386</v>
      </c>
      <c r="H6520" s="136"/>
      <c r="I6520" s="137">
        <f>SUM(I6518:I6519)</f>
        <v>87750</v>
      </c>
    </row>
    <row r="6521" spans="2:10" ht="15.95" customHeight="1" thickBot="1" x14ac:dyDescent="0.3">
      <c r="C6521" s="116" t="s">
        <v>387</v>
      </c>
      <c r="D6521" s="117" t="s">
        <v>388</v>
      </c>
      <c r="E6521" s="118"/>
      <c r="F6521" s="118"/>
      <c r="G6521" s="165"/>
      <c r="H6521" s="144">
        <f>IF(AND(D6521&lt;&gt;"",F6521&lt;&gt;""),IF(C6521="",IF(F6521="OH",VLOOKUP(D6521,[1]UPAH!$B$3:$G$32,7,0),VLOOKUP(D6521,[1]BAHAN!$A$2:$D$3,4,0)),0),0)</f>
        <v>0</v>
      </c>
      <c r="I6521" s="126">
        <f>G6521*H6521</f>
        <v>0</v>
      </c>
    </row>
    <row r="6522" spans="2:10" ht="15.95" customHeight="1" thickBot="1" x14ac:dyDescent="0.3">
      <c r="C6522" s="132"/>
      <c r="D6522" s="133"/>
      <c r="E6522" s="134"/>
      <c r="F6522" s="134"/>
      <c r="G6522" s="135" t="s">
        <v>389</v>
      </c>
      <c r="H6522" s="136"/>
      <c r="I6522" s="137">
        <f>I6521</f>
        <v>0</v>
      </c>
    </row>
    <row r="6523" spans="2:10" ht="15.95" customHeight="1" x14ac:dyDescent="0.25">
      <c r="C6523" s="158" t="s">
        <v>390</v>
      </c>
      <c r="D6523" s="159" t="s">
        <v>391</v>
      </c>
      <c r="E6523" s="160"/>
      <c r="F6523" s="160"/>
      <c r="G6523" s="161"/>
      <c r="H6523" s="162">
        <f>IF(AND(D6523&lt;&gt;"",F6523&lt;&gt;""),IF(C6523="",IF(F6523="OH",VLOOKUP(D6523,[1]UPAH!$B$3:$G$32,7,0),VLOOKUP(D6523,[1]BAHAN!$A$2:$D$3,4,0)),0),0)</f>
        <v>0</v>
      </c>
      <c r="I6523" s="126">
        <f>SUM(I6512:I6522)/2</f>
        <v>172135</v>
      </c>
    </row>
    <row r="6524" spans="2:10" ht="15.95" customHeight="1" thickBot="1" x14ac:dyDescent="0.3">
      <c r="C6524" s="147" t="s">
        <v>392</v>
      </c>
      <c r="D6524" s="148" t="s">
        <v>393</v>
      </c>
      <c r="E6524" s="149"/>
      <c r="F6524" s="149"/>
      <c r="G6524" s="164">
        <v>0.1</v>
      </c>
      <c r="H6524" s="151"/>
      <c r="I6524" s="146">
        <f>G6524*I6523</f>
        <v>17213.5</v>
      </c>
    </row>
    <row r="6525" spans="2:10" ht="15.95" customHeight="1" thickBot="1" x14ac:dyDescent="0.3">
      <c r="C6525" s="111" t="s">
        <v>394</v>
      </c>
      <c r="D6525" s="112" t="s">
        <v>395</v>
      </c>
      <c r="E6525" s="134"/>
      <c r="F6525" s="134"/>
      <c r="G6525" s="156"/>
      <c r="H6525" s="136">
        <f>IF(AND(D6525&lt;&gt;"",F6525&lt;&gt;""),IF(C6525="",IF(F6525="OH",VLOOKUP(D6525,[1]UPAH!$B$3:$G$32,7,0),VLOOKUP(D6525,[1]BAHAN!$A$2:$D$3,4,0)),0),0)</f>
        <v>0</v>
      </c>
      <c r="I6525" s="137">
        <f>ROUNDDOWN(I6523+I6524,0)</f>
        <v>189348</v>
      </c>
    </row>
    <row r="6526" spans="2:10" ht="15.95" customHeight="1" x14ac:dyDescent="0.25">
      <c r="C6526" s="109"/>
      <c r="D6526" s="109"/>
      <c r="G6526" s="157"/>
    </row>
    <row r="6527" spans="2:10" ht="15.95" customHeight="1" thickBot="1" x14ac:dyDescent="0.3">
      <c r="B6527" s="247" t="s">
        <v>1391</v>
      </c>
      <c r="C6527" s="104" t="s">
        <v>1392</v>
      </c>
      <c r="G6527" s="157"/>
      <c r="J6527" s="110">
        <f>I6542</f>
        <v>53246</v>
      </c>
    </row>
    <row r="6528" spans="2:10" ht="15.95" customHeight="1" thickBot="1" x14ac:dyDescent="0.3">
      <c r="C6528" s="111" t="s">
        <v>328</v>
      </c>
      <c r="D6528" s="112" t="s">
        <v>359</v>
      </c>
      <c r="E6528" s="113" t="s">
        <v>360</v>
      </c>
      <c r="F6528" s="113" t="s">
        <v>330</v>
      </c>
      <c r="G6528" s="114" t="s">
        <v>361</v>
      </c>
      <c r="H6528" s="112" t="s">
        <v>362</v>
      </c>
      <c r="I6528" s="115" t="s">
        <v>363</v>
      </c>
    </row>
    <row r="6529" spans="2:10" ht="15.95" customHeight="1" x14ac:dyDescent="0.25">
      <c r="C6529" s="116" t="s">
        <v>364</v>
      </c>
      <c r="D6529" s="117" t="s">
        <v>365</v>
      </c>
      <c r="E6529" s="118"/>
      <c r="F6529" s="118"/>
      <c r="G6529" s="165"/>
      <c r="H6529" s="144"/>
      <c r="I6529" s="126"/>
    </row>
    <row r="6530" spans="2:10" ht="15.95" customHeight="1" x14ac:dyDescent="0.25">
      <c r="C6530" s="122"/>
      <c r="D6530" s="117" t="s">
        <v>366</v>
      </c>
      <c r="E6530" s="123" t="s">
        <v>367</v>
      </c>
      <c r="F6530" s="123" t="s">
        <v>368</v>
      </c>
      <c r="G6530" s="242">
        <v>1.4999999999999999E-2</v>
      </c>
      <c r="H6530" s="125">
        <f>VLOOKUP(D6530,Upah,8,FALSE)</f>
        <v>125000</v>
      </c>
      <c r="I6530" s="126">
        <f>G6530*H6530</f>
        <v>1875</v>
      </c>
    </row>
    <row r="6531" spans="2:10" ht="15.95" customHeight="1" x14ac:dyDescent="0.25">
      <c r="C6531" s="122"/>
      <c r="D6531" s="117" t="s">
        <v>611</v>
      </c>
      <c r="E6531" s="123" t="s">
        <v>370</v>
      </c>
      <c r="F6531" s="123" t="s">
        <v>368</v>
      </c>
      <c r="G6531" s="242">
        <v>0.15</v>
      </c>
      <c r="H6531" s="125">
        <f>VLOOKUP(D6531,Upah,8,FALSE)</f>
        <v>150000</v>
      </c>
      <c r="I6531" s="126">
        <f>G6531*H6531</f>
        <v>22500</v>
      </c>
    </row>
    <row r="6532" spans="2:10" ht="15.95" customHeight="1" x14ac:dyDescent="0.25">
      <c r="C6532" s="122"/>
      <c r="D6532" s="117" t="s">
        <v>429</v>
      </c>
      <c r="E6532" s="123" t="s">
        <v>372</v>
      </c>
      <c r="F6532" s="123" t="s">
        <v>368</v>
      </c>
      <c r="G6532" s="242">
        <v>1.4999999999999999E-2</v>
      </c>
      <c r="H6532" s="125">
        <f>VLOOKUP(D6532,Upah,8,FALSE)</f>
        <v>165000</v>
      </c>
      <c r="I6532" s="126">
        <f>G6532*H6532</f>
        <v>2475</v>
      </c>
    </row>
    <row r="6533" spans="2:10" ht="15.95" customHeight="1" thickBot="1" x14ac:dyDescent="0.3">
      <c r="C6533" s="122"/>
      <c r="D6533" s="117" t="s">
        <v>373</v>
      </c>
      <c r="E6533" s="123" t="s">
        <v>374</v>
      </c>
      <c r="F6533" s="123" t="s">
        <v>368</v>
      </c>
      <c r="G6533" s="242">
        <v>8.0000000000000004E-4</v>
      </c>
      <c r="H6533" s="125">
        <f>VLOOKUP(D6533,Upah,8,FALSE)</f>
        <v>170000</v>
      </c>
      <c r="I6533" s="126">
        <f>G6533*H6533</f>
        <v>136</v>
      </c>
    </row>
    <row r="6534" spans="2:10" ht="15.95" customHeight="1" thickBot="1" x14ac:dyDescent="0.3">
      <c r="C6534" s="132"/>
      <c r="D6534" s="133"/>
      <c r="E6534" s="134"/>
      <c r="F6534" s="134"/>
      <c r="G6534" s="135" t="s">
        <v>375</v>
      </c>
      <c r="H6534" s="136"/>
      <c r="I6534" s="137">
        <f>SUM(I6530:I6533)</f>
        <v>26986</v>
      </c>
    </row>
    <row r="6535" spans="2:10" ht="15.95" customHeight="1" x14ac:dyDescent="0.25">
      <c r="C6535" s="116" t="s">
        <v>376</v>
      </c>
      <c r="D6535" s="117" t="s">
        <v>377</v>
      </c>
      <c r="E6535" s="118"/>
      <c r="F6535" s="118"/>
      <c r="G6535" s="165"/>
      <c r="H6535" s="144"/>
      <c r="I6535" s="126"/>
    </row>
    <row r="6536" spans="2:10" ht="15.95" customHeight="1" thickBot="1" x14ac:dyDescent="0.3">
      <c r="C6536" s="122"/>
      <c r="D6536" s="117" t="s">
        <v>1393</v>
      </c>
      <c r="E6536" s="118"/>
      <c r="F6536" s="123" t="s">
        <v>418</v>
      </c>
      <c r="G6536" s="242">
        <v>1</v>
      </c>
      <c r="H6536" s="144">
        <f>VLOOKUP(D6536,Bahan,6,FALSE)</f>
        <v>21420</v>
      </c>
      <c r="I6536" s="126">
        <f>G6536*H6536</f>
        <v>21420</v>
      </c>
    </row>
    <row r="6537" spans="2:10" ht="15.95" customHeight="1" thickBot="1" x14ac:dyDescent="0.3">
      <c r="C6537" s="132"/>
      <c r="D6537" s="133"/>
      <c r="E6537" s="134"/>
      <c r="F6537" s="134"/>
      <c r="G6537" s="135" t="s">
        <v>386</v>
      </c>
      <c r="H6537" s="136"/>
      <c r="I6537" s="137">
        <f>SUM(I6535:I6536)</f>
        <v>21420</v>
      </c>
    </row>
    <row r="6538" spans="2:10" ht="15.95" customHeight="1" thickBot="1" x14ac:dyDescent="0.3">
      <c r="C6538" s="116" t="s">
        <v>387</v>
      </c>
      <c r="D6538" s="117" t="s">
        <v>388</v>
      </c>
      <c r="E6538" s="118"/>
      <c r="F6538" s="118"/>
      <c r="G6538" s="165"/>
      <c r="H6538" s="144">
        <f>IF(AND(D6538&lt;&gt;"",F6538&lt;&gt;""),IF(C6538="",IF(F6538="OH",VLOOKUP(D6538,[1]UPAH!$B$3:$G$32,7,0),VLOOKUP(D6538,[1]BAHAN!$A$2:$D$3,4,0)),0),0)</f>
        <v>0</v>
      </c>
      <c r="I6538" s="126">
        <f>G6538*H6538</f>
        <v>0</v>
      </c>
    </row>
    <row r="6539" spans="2:10" ht="15.95" customHeight="1" thickBot="1" x14ac:dyDescent="0.3">
      <c r="C6539" s="132"/>
      <c r="D6539" s="133"/>
      <c r="E6539" s="134"/>
      <c r="F6539" s="134"/>
      <c r="G6539" s="135" t="s">
        <v>389</v>
      </c>
      <c r="H6539" s="136"/>
      <c r="I6539" s="137">
        <f>I6538</f>
        <v>0</v>
      </c>
    </row>
    <row r="6540" spans="2:10" ht="15.95" customHeight="1" x14ac:dyDescent="0.25">
      <c r="C6540" s="158" t="s">
        <v>390</v>
      </c>
      <c r="D6540" s="159" t="s">
        <v>391</v>
      </c>
      <c r="E6540" s="160"/>
      <c r="F6540" s="160"/>
      <c r="G6540" s="161"/>
      <c r="H6540" s="162">
        <f>IF(AND(D6540&lt;&gt;"",F6540&lt;&gt;""),IF(C6540="",IF(F6540="OH",VLOOKUP(D6540,[1]UPAH!$B$3:$G$32,7,0),VLOOKUP(D6540,[1]BAHAN!$A$2:$D$3,4,0)),0),0)</f>
        <v>0</v>
      </c>
      <c r="I6540" s="126">
        <f>SUM(I6529:I6539)/2</f>
        <v>48406</v>
      </c>
    </row>
    <row r="6541" spans="2:10" ht="15.95" customHeight="1" thickBot="1" x14ac:dyDescent="0.3">
      <c r="C6541" s="147" t="s">
        <v>392</v>
      </c>
      <c r="D6541" s="148" t="s">
        <v>393</v>
      </c>
      <c r="E6541" s="149"/>
      <c r="F6541" s="149"/>
      <c r="G6541" s="164">
        <v>0.1</v>
      </c>
      <c r="H6541" s="151"/>
      <c r="I6541" s="146">
        <f>G6541*I6540</f>
        <v>4840.6000000000004</v>
      </c>
    </row>
    <row r="6542" spans="2:10" ht="15.95" customHeight="1" thickBot="1" x14ac:dyDescent="0.3">
      <c r="C6542" s="111" t="s">
        <v>394</v>
      </c>
      <c r="D6542" s="112" t="s">
        <v>395</v>
      </c>
      <c r="E6542" s="134"/>
      <c r="F6542" s="134"/>
      <c r="G6542" s="156"/>
      <c r="H6542" s="136">
        <f>IF(AND(D6542&lt;&gt;"",F6542&lt;&gt;""),IF(C6542="",IF(F6542="OH",VLOOKUP(D6542,[1]UPAH!$B$3:$G$32,7,0),VLOOKUP(D6542,[1]BAHAN!$A$2:$D$3,4,0)),0),0)</f>
        <v>0</v>
      </c>
      <c r="I6542" s="137">
        <f>ROUNDDOWN(I6540+I6541,0)</f>
        <v>53246</v>
      </c>
    </row>
    <row r="6543" spans="2:10" ht="15.95" customHeight="1" x14ac:dyDescent="0.25">
      <c r="C6543" s="109"/>
      <c r="D6543" s="109"/>
      <c r="G6543" s="157"/>
    </row>
    <row r="6544" spans="2:10" ht="15.95" customHeight="1" thickBot="1" x14ac:dyDescent="0.3">
      <c r="B6544" s="247" t="s">
        <v>1394</v>
      </c>
      <c r="C6544" s="104" t="s">
        <v>1395</v>
      </c>
      <c r="G6544" s="157"/>
      <c r="J6544" s="110">
        <f>I6559</f>
        <v>44863</v>
      </c>
    </row>
    <row r="6545" spans="3:9" ht="15.95" customHeight="1" thickBot="1" x14ac:dyDescent="0.3">
      <c r="C6545" s="111" t="s">
        <v>328</v>
      </c>
      <c r="D6545" s="112" t="s">
        <v>359</v>
      </c>
      <c r="E6545" s="113" t="s">
        <v>360</v>
      </c>
      <c r="F6545" s="113" t="s">
        <v>330</v>
      </c>
      <c r="G6545" s="114" t="s">
        <v>361</v>
      </c>
      <c r="H6545" s="112" t="s">
        <v>362</v>
      </c>
      <c r="I6545" s="115" t="s">
        <v>363</v>
      </c>
    </row>
    <row r="6546" spans="3:9" ht="15.95" customHeight="1" x14ac:dyDescent="0.25">
      <c r="C6546" s="116" t="s">
        <v>364</v>
      </c>
      <c r="D6546" s="117" t="s">
        <v>365</v>
      </c>
      <c r="E6546" s="118"/>
      <c r="F6546" s="118"/>
      <c r="G6546" s="165"/>
      <c r="H6546" s="144"/>
      <c r="I6546" s="126"/>
    </row>
    <row r="6547" spans="3:9" ht="15.95" customHeight="1" x14ac:dyDescent="0.25">
      <c r="C6547" s="122"/>
      <c r="D6547" s="117" t="s">
        <v>366</v>
      </c>
      <c r="E6547" s="123" t="s">
        <v>367</v>
      </c>
      <c r="F6547" s="123" t="s">
        <v>368</v>
      </c>
      <c r="G6547" s="242">
        <v>0.01</v>
      </c>
      <c r="H6547" s="125">
        <f>VLOOKUP(D6547,Upah,8,FALSE)</f>
        <v>125000</v>
      </c>
      <c r="I6547" s="126">
        <f>G6547*H6547</f>
        <v>1250</v>
      </c>
    </row>
    <row r="6548" spans="3:9" ht="15.95" customHeight="1" x14ac:dyDescent="0.25">
      <c r="C6548" s="122"/>
      <c r="D6548" s="117" t="s">
        <v>611</v>
      </c>
      <c r="E6548" s="123" t="s">
        <v>370</v>
      </c>
      <c r="F6548" s="123" t="s">
        <v>368</v>
      </c>
      <c r="G6548" s="242">
        <v>0.1</v>
      </c>
      <c r="H6548" s="125">
        <f>VLOOKUP(D6548,Upah,8,FALSE)</f>
        <v>150000</v>
      </c>
      <c r="I6548" s="126">
        <f>G6548*H6548</f>
        <v>15000</v>
      </c>
    </row>
    <row r="6549" spans="3:9" ht="15.95" customHeight="1" x14ac:dyDescent="0.25">
      <c r="C6549" s="122"/>
      <c r="D6549" s="117" t="s">
        <v>429</v>
      </c>
      <c r="E6549" s="123" t="s">
        <v>372</v>
      </c>
      <c r="F6549" s="123" t="s">
        <v>368</v>
      </c>
      <c r="G6549" s="242">
        <v>0.01</v>
      </c>
      <c r="H6549" s="125">
        <f>VLOOKUP(D6549,Upah,8,FALSE)</f>
        <v>165000</v>
      </c>
      <c r="I6549" s="126">
        <f>G6549*H6549</f>
        <v>1650</v>
      </c>
    </row>
    <row r="6550" spans="3:9" ht="15.95" customHeight="1" thickBot="1" x14ac:dyDescent="0.3">
      <c r="C6550" s="122"/>
      <c r="D6550" s="117" t="s">
        <v>373</v>
      </c>
      <c r="E6550" s="123" t="s">
        <v>374</v>
      </c>
      <c r="F6550" s="123" t="s">
        <v>368</v>
      </c>
      <c r="G6550" s="242">
        <v>5.0000000000000001E-4</v>
      </c>
      <c r="H6550" s="125">
        <f>VLOOKUP(D6550,Upah,8,FALSE)</f>
        <v>170000</v>
      </c>
      <c r="I6550" s="126">
        <f>G6550*H6550</f>
        <v>85</v>
      </c>
    </row>
    <row r="6551" spans="3:9" ht="15.95" customHeight="1" thickBot="1" x14ac:dyDescent="0.3">
      <c r="C6551" s="132"/>
      <c r="D6551" s="133"/>
      <c r="E6551" s="134"/>
      <c r="F6551" s="134"/>
      <c r="G6551" s="135" t="s">
        <v>375</v>
      </c>
      <c r="H6551" s="136"/>
      <c r="I6551" s="137">
        <f>SUM(I6547:I6550)</f>
        <v>17985</v>
      </c>
    </row>
    <row r="6552" spans="3:9" ht="15.95" customHeight="1" x14ac:dyDescent="0.25">
      <c r="C6552" s="116" t="s">
        <v>376</v>
      </c>
      <c r="D6552" s="117" t="s">
        <v>377</v>
      </c>
      <c r="E6552" s="118"/>
      <c r="F6552" s="118"/>
      <c r="G6552" s="165"/>
      <c r="H6552" s="144"/>
      <c r="I6552" s="126"/>
    </row>
    <row r="6553" spans="3:9" ht="15.95" customHeight="1" thickBot="1" x14ac:dyDescent="0.3">
      <c r="C6553" s="122"/>
      <c r="D6553" s="117" t="s">
        <v>1396</v>
      </c>
      <c r="E6553" s="118"/>
      <c r="F6553" s="123" t="s">
        <v>418</v>
      </c>
      <c r="G6553" s="242">
        <v>1</v>
      </c>
      <c r="H6553" s="144">
        <f>VLOOKUP(D6553,Bahan,6,FALSE)</f>
        <v>22800</v>
      </c>
      <c r="I6553" s="126">
        <f>G6553*H6553</f>
        <v>22800</v>
      </c>
    </row>
    <row r="6554" spans="3:9" ht="15.95" customHeight="1" thickBot="1" x14ac:dyDescent="0.3">
      <c r="C6554" s="132"/>
      <c r="D6554" s="133"/>
      <c r="E6554" s="134"/>
      <c r="F6554" s="134"/>
      <c r="G6554" s="135" t="s">
        <v>386</v>
      </c>
      <c r="H6554" s="136"/>
      <c r="I6554" s="137">
        <f>SUM(I6552:I6553)</f>
        <v>22800</v>
      </c>
    </row>
    <row r="6555" spans="3:9" ht="15.95" customHeight="1" thickBot="1" x14ac:dyDescent="0.3">
      <c r="C6555" s="116" t="s">
        <v>387</v>
      </c>
      <c r="D6555" s="117" t="s">
        <v>388</v>
      </c>
      <c r="E6555" s="118"/>
      <c r="F6555" s="118"/>
      <c r="G6555" s="165"/>
      <c r="H6555" s="144">
        <f>IF(AND(D6555&lt;&gt;"",F6555&lt;&gt;""),IF(C6555="",IF(F6555="OH",VLOOKUP(D6555,[1]UPAH!$B$3:$G$32,7,0),VLOOKUP(D6555,[1]BAHAN!$A$2:$D$3,4,0)),0),0)</f>
        <v>0</v>
      </c>
      <c r="I6555" s="126">
        <f>G6555*H6555</f>
        <v>0</v>
      </c>
    </row>
    <row r="6556" spans="3:9" ht="15.95" customHeight="1" thickBot="1" x14ac:dyDescent="0.3">
      <c r="C6556" s="132"/>
      <c r="D6556" s="133"/>
      <c r="E6556" s="134"/>
      <c r="F6556" s="134"/>
      <c r="G6556" s="135" t="s">
        <v>389</v>
      </c>
      <c r="H6556" s="136"/>
      <c r="I6556" s="137">
        <f>I6555</f>
        <v>0</v>
      </c>
    </row>
    <row r="6557" spans="3:9" ht="15.95" customHeight="1" x14ac:dyDescent="0.25">
      <c r="C6557" s="158" t="s">
        <v>390</v>
      </c>
      <c r="D6557" s="159" t="s">
        <v>391</v>
      </c>
      <c r="E6557" s="160"/>
      <c r="F6557" s="160"/>
      <c r="G6557" s="161"/>
      <c r="H6557" s="162">
        <f>IF(AND(D6557&lt;&gt;"",F6557&lt;&gt;""),IF(C6557="",IF(F6557="OH",VLOOKUP(D6557,[1]UPAH!$B$3:$G$32,7,0),VLOOKUP(D6557,[1]BAHAN!$A$2:$D$3,4,0)),0),0)</f>
        <v>0</v>
      </c>
      <c r="I6557" s="126">
        <f>SUM(I6546:I6556)/2</f>
        <v>40785</v>
      </c>
    </row>
    <row r="6558" spans="3:9" ht="15.95" customHeight="1" thickBot="1" x14ac:dyDescent="0.3">
      <c r="C6558" s="147" t="s">
        <v>392</v>
      </c>
      <c r="D6558" s="148" t="s">
        <v>393</v>
      </c>
      <c r="E6558" s="149"/>
      <c r="F6558" s="149"/>
      <c r="G6558" s="164">
        <v>0.1</v>
      </c>
      <c r="H6558" s="151"/>
      <c r="I6558" s="146">
        <f>G6558*I6557</f>
        <v>4078.5</v>
      </c>
    </row>
    <row r="6559" spans="3:9" ht="15.95" customHeight="1" thickBot="1" x14ac:dyDescent="0.3">
      <c r="C6559" s="111" t="s">
        <v>394</v>
      </c>
      <c r="D6559" s="112" t="s">
        <v>395</v>
      </c>
      <c r="E6559" s="134"/>
      <c r="F6559" s="134"/>
      <c r="G6559" s="156"/>
      <c r="H6559" s="136">
        <f>IF(AND(D6559&lt;&gt;"",F6559&lt;&gt;""),IF(C6559="",IF(F6559="OH",VLOOKUP(D6559,[1]UPAH!$B$3:$G$32,7,0),VLOOKUP(D6559,[1]BAHAN!$A$2:$D$3,4,0)),0),0)</f>
        <v>0</v>
      </c>
      <c r="I6559" s="137">
        <f>ROUNDDOWN(I6557+I6558,0)</f>
        <v>44863</v>
      </c>
    </row>
    <row r="6560" spans="3:9" ht="15.95" customHeight="1" x14ac:dyDescent="0.25">
      <c r="C6560" s="109"/>
      <c r="D6560" s="109"/>
      <c r="G6560" s="157"/>
    </row>
    <row r="6561" spans="2:10" ht="15.95" customHeight="1" thickBot="1" x14ac:dyDescent="0.3">
      <c r="B6561" s="109" t="s">
        <v>1397</v>
      </c>
      <c r="C6561" s="104" t="s">
        <v>1398</v>
      </c>
      <c r="G6561" s="157"/>
      <c r="J6561" s="110">
        <f>I6577</f>
        <v>61033</v>
      </c>
    </row>
    <row r="6562" spans="2:10" ht="15.95" customHeight="1" thickBot="1" x14ac:dyDescent="0.3">
      <c r="C6562" s="111" t="s">
        <v>328</v>
      </c>
      <c r="D6562" s="112" t="s">
        <v>359</v>
      </c>
      <c r="E6562" s="113" t="s">
        <v>360</v>
      </c>
      <c r="F6562" s="113" t="s">
        <v>330</v>
      </c>
      <c r="G6562" s="114" t="s">
        <v>361</v>
      </c>
      <c r="H6562" s="112" t="s">
        <v>362</v>
      </c>
      <c r="I6562" s="115" t="s">
        <v>363</v>
      </c>
    </row>
    <row r="6563" spans="2:10" ht="15.95" customHeight="1" x14ac:dyDescent="0.25">
      <c r="C6563" s="116" t="s">
        <v>364</v>
      </c>
      <c r="D6563" s="117" t="s">
        <v>365</v>
      </c>
      <c r="E6563" s="118"/>
      <c r="F6563" s="118"/>
      <c r="G6563" s="165"/>
      <c r="H6563" s="144"/>
      <c r="I6563" s="126"/>
    </row>
    <row r="6564" spans="2:10" ht="15.95" customHeight="1" x14ac:dyDescent="0.25">
      <c r="C6564" s="116" t="s">
        <v>364</v>
      </c>
      <c r="D6564" s="117" t="s">
        <v>365</v>
      </c>
      <c r="E6564" s="118"/>
      <c r="F6564" s="118"/>
      <c r="G6564" s="165"/>
      <c r="H6564" s="144">
        <f>IF(AND(D6564&lt;&gt;"",F6564&lt;&gt;""),IF(C6564="",IF(F6564="OH",VLOOKUP(D6564,[1]UPAH!$B$3:$G$32,7,0),VLOOKUP(D6564,[1]BAHAN!$A$2:$D$3,4,0)),0),0)</f>
        <v>0</v>
      </c>
      <c r="I6564" s="126">
        <f>G6564*H6564</f>
        <v>0</v>
      </c>
    </row>
    <row r="6565" spans="2:10" ht="15.95" customHeight="1" x14ac:dyDescent="0.25">
      <c r="C6565" s="122"/>
      <c r="D6565" s="117" t="s">
        <v>366</v>
      </c>
      <c r="E6565" s="123" t="s">
        <v>367</v>
      </c>
      <c r="F6565" s="123" t="s">
        <v>368</v>
      </c>
      <c r="G6565" s="242">
        <v>0.1</v>
      </c>
      <c r="H6565" s="125">
        <f>VLOOKUP(D6565,Upah,8,FALSE)</f>
        <v>125000</v>
      </c>
      <c r="I6565" s="126">
        <f>G6565*H6565</f>
        <v>12500</v>
      </c>
    </row>
    <row r="6566" spans="2:10" ht="15.95" customHeight="1" x14ac:dyDescent="0.25">
      <c r="C6566" s="122"/>
      <c r="D6566" s="117" t="s">
        <v>611</v>
      </c>
      <c r="E6566" s="123" t="s">
        <v>370</v>
      </c>
      <c r="F6566" s="123" t="s">
        <v>368</v>
      </c>
      <c r="G6566" s="242">
        <v>0.2</v>
      </c>
      <c r="H6566" s="125">
        <f>VLOOKUP(D6566,Upah,8,FALSE)</f>
        <v>150000</v>
      </c>
      <c r="I6566" s="126">
        <f>G6566*H6566</f>
        <v>30000</v>
      </c>
    </row>
    <row r="6567" spans="2:10" ht="15.95" customHeight="1" x14ac:dyDescent="0.25">
      <c r="C6567" s="122"/>
      <c r="D6567" s="117" t="s">
        <v>429</v>
      </c>
      <c r="E6567" s="123" t="s">
        <v>372</v>
      </c>
      <c r="F6567" s="123" t="s">
        <v>368</v>
      </c>
      <c r="G6567" s="242">
        <v>0.02</v>
      </c>
      <c r="H6567" s="125">
        <f>VLOOKUP(D6567,Upah,8,FALSE)</f>
        <v>165000</v>
      </c>
      <c r="I6567" s="126">
        <f>G6567*H6567</f>
        <v>3300</v>
      </c>
    </row>
    <row r="6568" spans="2:10" ht="15.95" customHeight="1" thickBot="1" x14ac:dyDescent="0.3">
      <c r="C6568" s="122"/>
      <c r="D6568" s="117" t="s">
        <v>373</v>
      </c>
      <c r="E6568" s="123" t="s">
        <v>374</v>
      </c>
      <c r="F6568" s="123" t="s">
        <v>368</v>
      </c>
      <c r="G6568" s="242">
        <v>5.0000000000000001E-4</v>
      </c>
      <c r="H6568" s="125">
        <f>VLOOKUP(D6568,Upah,8,FALSE)</f>
        <v>170000</v>
      </c>
      <c r="I6568" s="126">
        <f>G6568*H6568</f>
        <v>85</v>
      </c>
    </row>
    <row r="6569" spans="2:10" ht="15.95" customHeight="1" thickBot="1" x14ac:dyDescent="0.3">
      <c r="C6569" s="132"/>
      <c r="D6569" s="133"/>
      <c r="E6569" s="134"/>
      <c r="F6569" s="134"/>
      <c r="G6569" s="135" t="s">
        <v>375</v>
      </c>
      <c r="H6569" s="136"/>
      <c r="I6569" s="137">
        <f>SUM(I6565:I6568)</f>
        <v>45885</v>
      </c>
    </row>
    <row r="6570" spans="2:10" ht="15.95" customHeight="1" x14ac:dyDescent="0.25">
      <c r="C6570" s="116" t="s">
        <v>376</v>
      </c>
      <c r="D6570" s="117" t="s">
        <v>377</v>
      </c>
      <c r="E6570" s="118"/>
      <c r="F6570" s="118"/>
      <c r="G6570" s="165"/>
      <c r="H6570" s="144"/>
      <c r="I6570" s="126"/>
    </row>
    <row r="6571" spans="2:10" ht="15.95" customHeight="1" thickBot="1" x14ac:dyDescent="0.3">
      <c r="C6571" s="122"/>
      <c r="D6571" s="117" t="s">
        <v>1399</v>
      </c>
      <c r="E6571" s="118"/>
      <c r="F6571" s="123" t="s">
        <v>418</v>
      </c>
      <c r="G6571" s="242">
        <v>1</v>
      </c>
      <c r="H6571" s="144">
        <f>VLOOKUP(D6571,Bahan,6,FALSE)</f>
        <v>9600</v>
      </c>
      <c r="I6571" s="126">
        <f>G6571*H6571</f>
        <v>9600</v>
      </c>
    </row>
    <row r="6572" spans="2:10" ht="15.95" customHeight="1" thickBot="1" x14ac:dyDescent="0.3">
      <c r="C6572" s="132"/>
      <c r="D6572" s="133"/>
      <c r="E6572" s="134"/>
      <c r="F6572" s="134"/>
      <c r="G6572" s="135" t="s">
        <v>386</v>
      </c>
      <c r="H6572" s="136"/>
      <c r="I6572" s="137">
        <f>SUM(I6570:I6571)</f>
        <v>9600</v>
      </c>
    </row>
    <row r="6573" spans="2:10" ht="15.95" customHeight="1" thickBot="1" x14ac:dyDescent="0.3">
      <c r="C6573" s="116" t="s">
        <v>387</v>
      </c>
      <c r="D6573" s="117" t="s">
        <v>388</v>
      </c>
      <c r="E6573" s="118"/>
      <c r="F6573" s="118"/>
      <c r="G6573" s="165"/>
      <c r="H6573" s="144">
        <f>IF(AND(D6573&lt;&gt;"",F6573&lt;&gt;""),IF(C6573="",IF(F6573="OH",VLOOKUP(D6573,[1]UPAH!$B$3:$G$32,7,0),VLOOKUP(D6573,[1]BAHAN!$A$2:$D$3,4,0)),0),0)</f>
        <v>0</v>
      </c>
      <c r="I6573" s="126">
        <f>G6573*H6573</f>
        <v>0</v>
      </c>
    </row>
    <row r="6574" spans="2:10" ht="15.95" customHeight="1" thickBot="1" x14ac:dyDescent="0.3">
      <c r="C6574" s="132"/>
      <c r="D6574" s="133"/>
      <c r="E6574" s="134"/>
      <c r="F6574" s="134"/>
      <c r="G6574" s="135" t="s">
        <v>389</v>
      </c>
      <c r="H6574" s="136"/>
      <c r="I6574" s="137">
        <f>I6573</f>
        <v>0</v>
      </c>
    </row>
    <row r="6575" spans="2:10" ht="15.95" customHeight="1" x14ac:dyDescent="0.25">
      <c r="C6575" s="158" t="s">
        <v>390</v>
      </c>
      <c r="D6575" s="159" t="s">
        <v>391</v>
      </c>
      <c r="E6575" s="160"/>
      <c r="F6575" s="160"/>
      <c r="G6575" s="161"/>
      <c r="H6575" s="162">
        <f>IF(AND(D6575&lt;&gt;"",F6575&lt;&gt;""),IF(C6575="",IF(F6575="OH",VLOOKUP(D6575,[1]UPAH!$B$3:$G$32,7,0),VLOOKUP(D6575,[1]BAHAN!$A$2:$D$3,4,0)),0),0)</f>
        <v>0</v>
      </c>
      <c r="I6575" s="126">
        <f>SUM(I6564:I6574)/2</f>
        <v>55485</v>
      </c>
    </row>
    <row r="6576" spans="2:10" ht="15.95" customHeight="1" thickBot="1" x14ac:dyDescent="0.3">
      <c r="C6576" s="147" t="s">
        <v>392</v>
      </c>
      <c r="D6576" s="148" t="s">
        <v>393</v>
      </c>
      <c r="E6576" s="149"/>
      <c r="F6576" s="149"/>
      <c r="G6576" s="164">
        <v>0.1</v>
      </c>
      <c r="H6576" s="151"/>
      <c r="I6576" s="146">
        <f>G6576*I6575</f>
        <v>5548.5</v>
      </c>
    </row>
    <row r="6577" spans="2:10" ht="15.95" customHeight="1" thickBot="1" x14ac:dyDescent="0.3">
      <c r="C6577" s="111" t="s">
        <v>394</v>
      </c>
      <c r="D6577" s="112" t="s">
        <v>395</v>
      </c>
      <c r="E6577" s="134"/>
      <c r="F6577" s="134"/>
      <c r="G6577" s="156"/>
      <c r="H6577" s="136">
        <f>IF(AND(D6577&lt;&gt;"",F6577&lt;&gt;""),IF(C6577="",IF(F6577="OH",VLOOKUP(D6577,[1]UPAH!$B$3:$G$32,7,0),VLOOKUP(D6577,[1]BAHAN!$A$2:$D$3,4,0)),0),0)</f>
        <v>0</v>
      </c>
      <c r="I6577" s="137">
        <f>ROUNDDOWN(I6575+I6576,0)</f>
        <v>61033</v>
      </c>
    </row>
    <row r="6578" spans="2:10" ht="15.95" customHeight="1" x14ac:dyDescent="0.25">
      <c r="C6578" s="109"/>
      <c r="D6578" s="109"/>
      <c r="G6578" s="157"/>
    </row>
    <row r="6579" spans="2:10" ht="15.95" customHeight="1" thickBot="1" x14ac:dyDescent="0.3">
      <c r="B6579" s="109" t="s">
        <v>1400</v>
      </c>
      <c r="C6579" s="104" t="s">
        <v>1401</v>
      </c>
      <c r="G6579" s="157"/>
      <c r="J6579" s="110">
        <f>I6595</f>
        <v>40766</v>
      </c>
    </row>
    <row r="6580" spans="2:10" ht="15.95" customHeight="1" thickBot="1" x14ac:dyDescent="0.3">
      <c r="C6580" s="111" t="s">
        <v>328</v>
      </c>
      <c r="D6580" s="112" t="s">
        <v>359</v>
      </c>
      <c r="E6580" s="113" t="s">
        <v>360</v>
      </c>
      <c r="F6580" s="113" t="s">
        <v>330</v>
      </c>
      <c r="G6580" s="114" t="s">
        <v>361</v>
      </c>
      <c r="H6580" s="112" t="s">
        <v>362</v>
      </c>
      <c r="I6580" s="115" t="s">
        <v>363</v>
      </c>
    </row>
    <row r="6581" spans="2:10" ht="15.95" customHeight="1" x14ac:dyDescent="0.25">
      <c r="C6581" s="116" t="s">
        <v>364</v>
      </c>
      <c r="D6581" s="117" t="s">
        <v>365</v>
      </c>
      <c r="E6581" s="118"/>
      <c r="F6581" s="118"/>
      <c r="G6581" s="165"/>
      <c r="H6581" s="144"/>
      <c r="I6581" s="126"/>
    </row>
    <row r="6582" spans="2:10" ht="15.95" customHeight="1" x14ac:dyDescent="0.25">
      <c r="C6582" s="116" t="s">
        <v>364</v>
      </c>
      <c r="D6582" s="117" t="s">
        <v>365</v>
      </c>
      <c r="E6582" s="118"/>
      <c r="F6582" s="118"/>
      <c r="G6582" s="165"/>
      <c r="H6582" s="144">
        <f>IF(AND(D6582&lt;&gt;"",F6582&lt;&gt;""),IF(C6582="",IF(F6582="OH",VLOOKUP(D6582,[1]UPAH!$B$3:$G$32,7,0),VLOOKUP(D6582,[1]BAHAN!$A$2:$D$3,4,0)),0),0)</f>
        <v>0</v>
      </c>
      <c r="I6582" s="126">
        <f>G6582*H6582</f>
        <v>0</v>
      </c>
    </row>
    <row r="6583" spans="2:10" ht="15.95" customHeight="1" x14ac:dyDescent="0.25">
      <c r="C6583" s="122"/>
      <c r="D6583" s="117" t="s">
        <v>366</v>
      </c>
      <c r="E6583" s="123" t="s">
        <v>367</v>
      </c>
      <c r="F6583" s="123" t="s">
        <v>368</v>
      </c>
      <c r="G6583" s="242">
        <v>1.4999999999999999E-2</v>
      </c>
      <c r="H6583" s="125">
        <f>VLOOKUP(D6583,Upah,8,FALSE)</f>
        <v>125000</v>
      </c>
      <c r="I6583" s="126">
        <f>G6583*H6583</f>
        <v>1875</v>
      </c>
    </row>
    <row r="6584" spans="2:10" ht="15.95" customHeight="1" x14ac:dyDescent="0.25">
      <c r="C6584" s="122"/>
      <c r="D6584" s="117" t="s">
        <v>611</v>
      </c>
      <c r="E6584" s="123" t="s">
        <v>370</v>
      </c>
      <c r="F6584" s="123" t="s">
        <v>368</v>
      </c>
      <c r="G6584" s="242">
        <v>0.15</v>
      </c>
      <c r="H6584" s="125">
        <f>VLOOKUP(D6584,Upah,8,FALSE)</f>
        <v>150000</v>
      </c>
      <c r="I6584" s="126">
        <f>G6584*H6584</f>
        <v>22500</v>
      </c>
    </row>
    <row r="6585" spans="2:10" ht="15.95" customHeight="1" x14ac:dyDescent="0.25">
      <c r="C6585" s="122"/>
      <c r="D6585" s="117" t="s">
        <v>429</v>
      </c>
      <c r="E6585" s="123" t="s">
        <v>372</v>
      </c>
      <c r="F6585" s="123" t="s">
        <v>368</v>
      </c>
      <c r="G6585" s="242">
        <v>1.4999999999999999E-2</v>
      </c>
      <c r="H6585" s="125">
        <f>VLOOKUP(D6585,Upah,8,FALSE)</f>
        <v>165000</v>
      </c>
      <c r="I6585" s="126">
        <f>G6585*H6585</f>
        <v>2475</v>
      </c>
    </row>
    <row r="6586" spans="2:10" ht="15.95" customHeight="1" thickBot="1" x14ac:dyDescent="0.3">
      <c r="C6586" s="122"/>
      <c r="D6586" s="117" t="s">
        <v>373</v>
      </c>
      <c r="E6586" s="123" t="s">
        <v>374</v>
      </c>
      <c r="F6586" s="123" t="s">
        <v>368</v>
      </c>
      <c r="G6586" s="242">
        <v>8.0000000000000002E-3</v>
      </c>
      <c r="H6586" s="125">
        <f>VLOOKUP(D6586,Upah,8,FALSE)</f>
        <v>170000</v>
      </c>
      <c r="I6586" s="126">
        <f>G6586*H6586</f>
        <v>1360</v>
      </c>
    </row>
    <row r="6587" spans="2:10" ht="15.95" customHeight="1" thickBot="1" x14ac:dyDescent="0.3">
      <c r="C6587" s="132"/>
      <c r="D6587" s="133"/>
      <c r="E6587" s="134"/>
      <c r="F6587" s="134"/>
      <c r="G6587" s="135" t="s">
        <v>375</v>
      </c>
      <c r="H6587" s="136"/>
      <c r="I6587" s="137">
        <f>SUM(I6583:I6586)</f>
        <v>28210</v>
      </c>
    </row>
    <row r="6588" spans="2:10" ht="15.95" customHeight="1" x14ac:dyDescent="0.25">
      <c r="C6588" s="116" t="s">
        <v>376</v>
      </c>
      <c r="D6588" s="117" t="s">
        <v>377</v>
      </c>
      <c r="E6588" s="118"/>
      <c r="F6588" s="118"/>
      <c r="G6588" s="165"/>
      <c r="H6588" s="144"/>
      <c r="I6588" s="126"/>
    </row>
    <row r="6589" spans="2:10" ht="15.95" customHeight="1" thickBot="1" x14ac:dyDescent="0.3">
      <c r="C6589" s="122"/>
      <c r="D6589" s="117" t="s">
        <v>1402</v>
      </c>
      <c r="E6589" s="118"/>
      <c r="F6589" s="123" t="s">
        <v>418</v>
      </c>
      <c r="G6589" s="242">
        <v>1</v>
      </c>
      <c r="H6589" s="144">
        <f>VLOOKUP(D6589,Bahan,6,FALSE)</f>
        <v>8850</v>
      </c>
      <c r="I6589" s="126">
        <f>G6589*H6589</f>
        <v>8850</v>
      </c>
    </row>
    <row r="6590" spans="2:10" ht="15.95" customHeight="1" thickBot="1" x14ac:dyDescent="0.3">
      <c r="C6590" s="132"/>
      <c r="D6590" s="133"/>
      <c r="E6590" s="134"/>
      <c r="F6590" s="134"/>
      <c r="G6590" s="135" t="s">
        <v>386</v>
      </c>
      <c r="H6590" s="136"/>
      <c r="I6590" s="137">
        <f>SUM(I6588:I6589)</f>
        <v>8850</v>
      </c>
    </row>
    <row r="6591" spans="2:10" ht="15.95" customHeight="1" thickBot="1" x14ac:dyDescent="0.3">
      <c r="C6591" s="116" t="s">
        <v>387</v>
      </c>
      <c r="D6591" s="117" t="s">
        <v>388</v>
      </c>
      <c r="E6591" s="118"/>
      <c r="F6591" s="118"/>
      <c r="G6591" s="165"/>
      <c r="H6591" s="144">
        <f>IF(AND(D6591&lt;&gt;"",F6591&lt;&gt;""),IF(C6591="",IF(F6591="OH",VLOOKUP(D6591,[1]UPAH!$B$3:$G$32,7,0),VLOOKUP(D6591,[1]BAHAN!$A$2:$D$3,4,0)),0),0)</f>
        <v>0</v>
      </c>
      <c r="I6591" s="126">
        <f>G6591*H6591</f>
        <v>0</v>
      </c>
    </row>
    <row r="6592" spans="2:10" ht="15.95" customHeight="1" thickBot="1" x14ac:dyDescent="0.3">
      <c r="C6592" s="132"/>
      <c r="D6592" s="133"/>
      <c r="E6592" s="134"/>
      <c r="F6592" s="134"/>
      <c r="G6592" s="135" t="s">
        <v>389</v>
      </c>
      <c r="H6592" s="136"/>
      <c r="I6592" s="137">
        <f>I6591</f>
        <v>0</v>
      </c>
    </row>
    <row r="6593" spans="2:10" ht="15.95" customHeight="1" x14ac:dyDescent="0.25">
      <c r="C6593" s="158" t="s">
        <v>390</v>
      </c>
      <c r="D6593" s="159" t="s">
        <v>391</v>
      </c>
      <c r="E6593" s="160"/>
      <c r="F6593" s="160"/>
      <c r="G6593" s="161"/>
      <c r="H6593" s="162">
        <f>IF(AND(D6593&lt;&gt;"",F6593&lt;&gt;""),IF(C6593="",IF(F6593="OH",VLOOKUP(D6593,[1]UPAH!$B$3:$G$32,7,0),VLOOKUP(D6593,[1]BAHAN!$A$2:$D$3,4,0)),0),0)</f>
        <v>0</v>
      </c>
      <c r="I6593" s="126">
        <f>SUM(I6582:I6592)/2</f>
        <v>37060</v>
      </c>
    </row>
    <row r="6594" spans="2:10" ht="15.95" customHeight="1" thickBot="1" x14ac:dyDescent="0.3">
      <c r="C6594" s="147" t="s">
        <v>392</v>
      </c>
      <c r="D6594" s="148" t="s">
        <v>393</v>
      </c>
      <c r="E6594" s="149"/>
      <c r="F6594" s="149"/>
      <c r="G6594" s="164">
        <v>0.1</v>
      </c>
      <c r="H6594" s="151"/>
      <c r="I6594" s="146">
        <f>G6594*I6593</f>
        <v>3706</v>
      </c>
    </row>
    <row r="6595" spans="2:10" ht="15.95" customHeight="1" thickBot="1" x14ac:dyDescent="0.3">
      <c r="C6595" s="111" t="s">
        <v>394</v>
      </c>
      <c r="D6595" s="112" t="s">
        <v>395</v>
      </c>
      <c r="E6595" s="134"/>
      <c r="F6595" s="134"/>
      <c r="G6595" s="156"/>
      <c r="H6595" s="136">
        <f>IF(AND(D6595&lt;&gt;"",F6595&lt;&gt;""),IF(C6595="",IF(F6595="OH",VLOOKUP(D6595,[1]UPAH!$B$3:$G$32,7,0),VLOOKUP(D6595,[1]BAHAN!$A$2:$D$3,4,0)),0),0)</f>
        <v>0</v>
      </c>
      <c r="I6595" s="137">
        <f>ROUNDDOWN(I6593+I6594,0)</f>
        <v>40766</v>
      </c>
    </row>
    <row r="6596" spans="2:10" ht="15.95" customHeight="1" x14ac:dyDescent="0.25">
      <c r="C6596" s="109"/>
      <c r="D6596" s="109"/>
      <c r="G6596" s="157"/>
    </row>
    <row r="6597" spans="2:10" ht="15.95" customHeight="1" thickBot="1" x14ac:dyDescent="0.3">
      <c r="B6597" s="247" t="s">
        <v>1403</v>
      </c>
      <c r="C6597" s="104" t="s">
        <v>1404</v>
      </c>
      <c r="G6597" s="157"/>
      <c r="J6597" s="110">
        <f>I6612</f>
        <v>38291</v>
      </c>
    </row>
    <row r="6598" spans="2:10" ht="15.95" customHeight="1" thickBot="1" x14ac:dyDescent="0.3">
      <c r="C6598" s="111" t="s">
        <v>328</v>
      </c>
      <c r="D6598" s="112" t="s">
        <v>359</v>
      </c>
      <c r="E6598" s="113" t="s">
        <v>360</v>
      </c>
      <c r="F6598" s="113" t="s">
        <v>330</v>
      </c>
      <c r="G6598" s="114" t="s">
        <v>361</v>
      </c>
      <c r="H6598" s="112" t="s">
        <v>362</v>
      </c>
      <c r="I6598" s="115" t="s">
        <v>363</v>
      </c>
    </row>
    <row r="6599" spans="2:10" ht="15.95" customHeight="1" x14ac:dyDescent="0.25">
      <c r="C6599" s="116" t="s">
        <v>364</v>
      </c>
      <c r="D6599" s="117" t="s">
        <v>365</v>
      </c>
      <c r="E6599" s="118"/>
      <c r="F6599" s="118"/>
      <c r="G6599" s="165"/>
      <c r="H6599" s="144"/>
      <c r="I6599" s="126"/>
    </row>
    <row r="6600" spans="2:10" ht="15.95" customHeight="1" x14ac:dyDescent="0.25">
      <c r="C6600" s="122"/>
      <c r="D6600" s="117" t="s">
        <v>366</v>
      </c>
      <c r="E6600" s="123" t="s">
        <v>367</v>
      </c>
      <c r="F6600" s="123" t="s">
        <v>368</v>
      </c>
      <c r="G6600" s="242">
        <v>1.4999999999999999E-2</v>
      </c>
      <c r="H6600" s="125">
        <f>VLOOKUP(D6600,Upah,8,FALSE)</f>
        <v>125000</v>
      </c>
      <c r="I6600" s="126">
        <f>G6600*H6600</f>
        <v>1875</v>
      </c>
    </row>
    <row r="6601" spans="2:10" ht="15.95" customHeight="1" x14ac:dyDescent="0.25">
      <c r="C6601" s="122"/>
      <c r="D6601" s="117" t="s">
        <v>611</v>
      </c>
      <c r="E6601" s="123" t="s">
        <v>370</v>
      </c>
      <c r="F6601" s="123" t="s">
        <v>368</v>
      </c>
      <c r="G6601" s="242">
        <v>0.15</v>
      </c>
      <c r="H6601" s="125">
        <f>VLOOKUP(D6601,Upah,8,FALSE)</f>
        <v>150000</v>
      </c>
      <c r="I6601" s="126">
        <f>G6601*H6601</f>
        <v>22500</v>
      </c>
    </row>
    <row r="6602" spans="2:10" ht="15.95" customHeight="1" x14ac:dyDescent="0.25">
      <c r="C6602" s="122"/>
      <c r="D6602" s="117" t="s">
        <v>429</v>
      </c>
      <c r="E6602" s="123" t="s">
        <v>372</v>
      </c>
      <c r="F6602" s="123" t="s">
        <v>368</v>
      </c>
      <c r="G6602" s="242">
        <v>1.4999999999999999E-2</v>
      </c>
      <c r="H6602" s="125">
        <f>VLOOKUP(D6602,Upah,8,FALSE)</f>
        <v>165000</v>
      </c>
      <c r="I6602" s="126">
        <f>G6602*H6602</f>
        <v>2475</v>
      </c>
    </row>
    <row r="6603" spans="2:10" ht="15.95" customHeight="1" thickBot="1" x14ac:dyDescent="0.3">
      <c r="C6603" s="122"/>
      <c r="D6603" s="117" t="s">
        <v>373</v>
      </c>
      <c r="E6603" s="123" t="s">
        <v>374</v>
      </c>
      <c r="F6603" s="123" t="s">
        <v>368</v>
      </c>
      <c r="G6603" s="242">
        <v>8.0000000000000002E-3</v>
      </c>
      <c r="H6603" s="125">
        <f>VLOOKUP(D6603,Upah,8,FALSE)</f>
        <v>170000</v>
      </c>
      <c r="I6603" s="126">
        <f>G6603*H6603</f>
        <v>1360</v>
      </c>
    </row>
    <row r="6604" spans="2:10" ht="15.95" customHeight="1" thickBot="1" x14ac:dyDescent="0.3">
      <c r="C6604" s="132"/>
      <c r="D6604" s="133"/>
      <c r="E6604" s="134"/>
      <c r="F6604" s="134"/>
      <c r="G6604" s="135" t="s">
        <v>375</v>
      </c>
      <c r="H6604" s="136"/>
      <c r="I6604" s="137">
        <f>SUM(I6600:I6603)</f>
        <v>28210</v>
      </c>
    </row>
    <row r="6605" spans="2:10" ht="15.95" customHeight="1" x14ac:dyDescent="0.25">
      <c r="C6605" s="116" t="s">
        <v>376</v>
      </c>
      <c r="D6605" s="117" t="s">
        <v>377</v>
      </c>
      <c r="E6605" s="118"/>
      <c r="F6605" s="118"/>
      <c r="G6605" s="165"/>
      <c r="H6605" s="144"/>
      <c r="I6605" s="126"/>
    </row>
    <row r="6606" spans="2:10" ht="15.95" customHeight="1" thickBot="1" x14ac:dyDescent="0.3">
      <c r="C6606" s="122"/>
      <c r="D6606" s="117" t="s">
        <v>1405</v>
      </c>
      <c r="E6606" s="118"/>
      <c r="F6606" s="123" t="s">
        <v>418</v>
      </c>
      <c r="G6606" s="242">
        <v>1</v>
      </c>
      <c r="H6606" s="144">
        <f>VLOOKUP(D6606,Bahan,6,FALSE)</f>
        <v>6600</v>
      </c>
      <c r="I6606" s="126">
        <f>G6606*H6606</f>
        <v>6600</v>
      </c>
    </row>
    <row r="6607" spans="2:10" ht="15.95" customHeight="1" thickBot="1" x14ac:dyDescent="0.3">
      <c r="C6607" s="132"/>
      <c r="D6607" s="133"/>
      <c r="E6607" s="134"/>
      <c r="F6607" s="134"/>
      <c r="G6607" s="135" t="s">
        <v>386</v>
      </c>
      <c r="H6607" s="136"/>
      <c r="I6607" s="137">
        <f>SUM(I6605:I6606)</f>
        <v>6600</v>
      </c>
    </row>
    <row r="6608" spans="2:10" ht="15.95" customHeight="1" thickBot="1" x14ac:dyDescent="0.3">
      <c r="C6608" s="116" t="s">
        <v>387</v>
      </c>
      <c r="D6608" s="117" t="s">
        <v>388</v>
      </c>
      <c r="E6608" s="118"/>
      <c r="F6608" s="118"/>
      <c r="G6608" s="165"/>
      <c r="H6608" s="144">
        <f>IF(AND(D6608&lt;&gt;"",F6608&lt;&gt;""),IF(C6608="",IF(F6608="OH",VLOOKUP(D6608,[1]UPAH!$B$3:$G$32,7,0),VLOOKUP(D6608,[1]BAHAN!$A$2:$D$3,4,0)),0),0)</f>
        <v>0</v>
      </c>
      <c r="I6608" s="126">
        <f>G6608*H6608</f>
        <v>0</v>
      </c>
    </row>
    <row r="6609" spans="2:10" ht="15.95" customHeight="1" thickBot="1" x14ac:dyDescent="0.3">
      <c r="C6609" s="132"/>
      <c r="D6609" s="133"/>
      <c r="E6609" s="134"/>
      <c r="F6609" s="134"/>
      <c r="G6609" s="135" t="s">
        <v>389</v>
      </c>
      <c r="H6609" s="136"/>
      <c r="I6609" s="137">
        <f>I6608</f>
        <v>0</v>
      </c>
    </row>
    <row r="6610" spans="2:10" ht="15.95" customHeight="1" x14ac:dyDescent="0.25">
      <c r="C6610" s="158" t="s">
        <v>390</v>
      </c>
      <c r="D6610" s="159" t="s">
        <v>391</v>
      </c>
      <c r="E6610" s="160"/>
      <c r="F6610" s="160"/>
      <c r="G6610" s="161"/>
      <c r="H6610" s="162">
        <f>IF(AND(D6610&lt;&gt;"",F6610&lt;&gt;""),IF(C6610="",IF(F6610="OH",VLOOKUP(D6610,[1]UPAH!$B$3:$G$32,7,0),VLOOKUP(D6610,[1]BAHAN!$A$2:$D$3,4,0)),0),0)</f>
        <v>0</v>
      </c>
      <c r="I6610" s="126">
        <f>SUM(I6599:I6609)/2</f>
        <v>34810</v>
      </c>
    </row>
    <row r="6611" spans="2:10" ht="15.95" customHeight="1" thickBot="1" x14ac:dyDescent="0.3">
      <c r="C6611" s="147" t="s">
        <v>392</v>
      </c>
      <c r="D6611" s="148" t="s">
        <v>393</v>
      </c>
      <c r="E6611" s="149"/>
      <c r="F6611" s="149"/>
      <c r="G6611" s="164">
        <v>0.1</v>
      </c>
      <c r="H6611" s="151"/>
      <c r="I6611" s="146">
        <f>G6611*I6610</f>
        <v>3481</v>
      </c>
    </row>
    <row r="6612" spans="2:10" ht="15.95" customHeight="1" thickBot="1" x14ac:dyDescent="0.3">
      <c r="C6612" s="111" t="s">
        <v>394</v>
      </c>
      <c r="D6612" s="112" t="s">
        <v>395</v>
      </c>
      <c r="E6612" s="134"/>
      <c r="F6612" s="134"/>
      <c r="G6612" s="156"/>
      <c r="H6612" s="136">
        <f>IF(AND(D6612&lt;&gt;"",F6612&lt;&gt;""),IF(C6612="",IF(F6612="OH",VLOOKUP(D6612,[1]UPAH!$B$3:$G$32,7,0),VLOOKUP(D6612,[1]BAHAN!$A$2:$D$3,4,0)),0),0)</f>
        <v>0</v>
      </c>
      <c r="I6612" s="137">
        <f>ROUNDDOWN(I6610+I6611,0)</f>
        <v>38291</v>
      </c>
    </row>
    <row r="6613" spans="2:10" ht="15.95" customHeight="1" x14ac:dyDescent="0.25">
      <c r="C6613" s="109"/>
      <c r="D6613" s="109"/>
      <c r="G6613" s="157"/>
    </row>
    <row r="6614" spans="2:10" ht="15.95" customHeight="1" thickBot="1" x14ac:dyDescent="0.3">
      <c r="B6614" s="109" t="s">
        <v>1406</v>
      </c>
      <c r="C6614" s="104" t="s">
        <v>1407</v>
      </c>
      <c r="G6614" s="157"/>
      <c r="J6614" s="110">
        <f>I6629</f>
        <v>434511</v>
      </c>
    </row>
    <row r="6615" spans="2:10" ht="15.95" customHeight="1" thickBot="1" x14ac:dyDescent="0.3">
      <c r="C6615" s="111" t="s">
        <v>328</v>
      </c>
      <c r="D6615" s="112" t="s">
        <v>359</v>
      </c>
      <c r="E6615" s="113" t="s">
        <v>360</v>
      </c>
      <c r="F6615" s="113" t="s">
        <v>330</v>
      </c>
      <c r="G6615" s="114" t="s">
        <v>361</v>
      </c>
      <c r="H6615" s="112" t="s">
        <v>362</v>
      </c>
      <c r="I6615" s="115" t="s">
        <v>363</v>
      </c>
    </row>
    <row r="6616" spans="2:10" ht="15.95" customHeight="1" x14ac:dyDescent="0.25">
      <c r="C6616" s="116" t="s">
        <v>364</v>
      </c>
      <c r="D6616" s="117" t="s">
        <v>365</v>
      </c>
      <c r="E6616" s="118"/>
      <c r="F6616" s="118"/>
      <c r="G6616" s="165"/>
      <c r="H6616" s="144"/>
      <c r="I6616" s="126"/>
    </row>
    <row r="6617" spans="2:10" ht="15.95" customHeight="1" x14ac:dyDescent="0.25">
      <c r="C6617" s="122"/>
      <c r="D6617" s="117" t="s">
        <v>366</v>
      </c>
      <c r="E6617" s="123" t="s">
        <v>367</v>
      </c>
      <c r="F6617" s="123" t="s">
        <v>368</v>
      </c>
      <c r="G6617" s="242">
        <v>0.05</v>
      </c>
      <c r="H6617" s="125">
        <f>VLOOKUP(D6617,Upah,8,FALSE)</f>
        <v>125000</v>
      </c>
      <c r="I6617" s="126">
        <f>G6617*H6617</f>
        <v>6250</v>
      </c>
    </row>
    <row r="6618" spans="2:10" ht="15.95" customHeight="1" x14ac:dyDescent="0.25">
      <c r="C6618" s="122"/>
      <c r="D6618" s="117" t="s">
        <v>611</v>
      </c>
      <c r="E6618" s="123" t="s">
        <v>370</v>
      </c>
      <c r="F6618" s="123" t="s">
        <v>368</v>
      </c>
      <c r="G6618" s="242">
        <v>0.5</v>
      </c>
      <c r="H6618" s="125">
        <f>VLOOKUP(D6618,Upah,8,FALSE)</f>
        <v>150000</v>
      </c>
      <c r="I6618" s="126">
        <f>G6618*H6618</f>
        <v>75000</v>
      </c>
    </row>
    <row r="6619" spans="2:10" ht="15.95" customHeight="1" x14ac:dyDescent="0.25">
      <c r="C6619" s="122"/>
      <c r="D6619" s="117" t="s">
        <v>429</v>
      </c>
      <c r="E6619" s="123" t="s">
        <v>372</v>
      </c>
      <c r="F6619" s="123" t="s">
        <v>368</v>
      </c>
      <c r="G6619" s="242">
        <v>0.05</v>
      </c>
      <c r="H6619" s="125">
        <f>VLOOKUP(D6619,Upah,8,FALSE)</f>
        <v>165000</v>
      </c>
      <c r="I6619" s="126">
        <f>G6619*H6619</f>
        <v>8250</v>
      </c>
    </row>
    <row r="6620" spans="2:10" ht="15.95" customHeight="1" thickBot="1" x14ac:dyDescent="0.3">
      <c r="C6620" s="122"/>
      <c r="D6620" s="117" t="s">
        <v>373</v>
      </c>
      <c r="E6620" s="123" t="s">
        <v>374</v>
      </c>
      <c r="F6620" s="123" t="s">
        <v>368</v>
      </c>
      <c r="G6620" s="242">
        <v>3.0000000000000001E-3</v>
      </c>
      <c r="H6620" s="125">
        <f>VLOOKUP(D6620,Upah,8,FALSE)</f>
        <v>170000</v>
      </c>
      <c r="I6620" s="126">
        <f>G6620*H6620</f>
        <v>510</v>
      </c>
    </row>
    <row r="6621" spans="2:10" ht="15.95" customHeight="1" thickBot="1" x14ac:dyDescent="0.3">
      <c r="C6621" s="132"/>
      <c r="D6621" s="133"/>
      <c r="E6621" s="134"/>
      <c r="F6621" s="134"/>
      <c r="G6621" s="135" t="s">
        <v>375</v>
      </c>
      <c r="H6621" s="136"/>
      <c r="I6621" s="137">
        <f>SUM(I6617:I6620)</f>
        <v>90010</v>
      </c>
    </row>
    <row r="6622" spans="2:10" ht="15.95" customHeight="1" x14ac:dyDescent="0.25">
      <c r="C6622" s="116" t="s">
        <v>376</v>
      </c>
      <c r="D6622" s="117" t="s">
        <v>377</v>
      </c>
      <c r="E6622" s="118"/>
      <c r="F6622" s="118"/>
      <c r="G6622" s="165"/>
      <c r="H6622" s="144"/>
      <c r="I6622" s="126"/>
    </row>
    <row r="6623" spans="2:10" ht="15.95" customHeight="1" thickBot="1" x14ac:dyDescent="0.3">
      <c r="C6623" s="122"/>
      <c r="D6623" s="117" t="s">
        <v>1408</v>
      </c>
      <c r="E6623" s="118"/>
      <c r="F6623" s="123" t="s">
        <v>1409</v>
      </c>
      <c r="G6623" s="242">
        <v>1</v>
      </c>
      <c r="H6623" s="144">
        <f>VLOOKUP(D6623,Bahan,6,FALSE)</f>
        <v>305000</v>
      </c>
      <c r="I6623" s="126">
        <f>G6623*H6623</f>
        <v>305000</v>
      </c>
    </row>
    <row r="6624" spans="2:10" ht="15.95" customHeight="1" thickBot="1" x14ac:dyDescent="0.3">
      <c r="C6624" s="132"/>
      <c r="D6624" s="133"/>
      <c r="E6624" s="134"/>
      <c r="F6624" s="134"/>
      <c r="G6624" s="135" t="s">
        <v>386</v>
      </c>
      <c r="H6624" s="136"/>
      <c r="I6624" s="137">
        <f>SUM(I6622:I6623)</f>
        <v>305000</v>
      </c>
    </row>
    <row r="6625" spans="2:10" ht="15.95" customHeight="1" thickBot="1" x14ac:dyDescent="0.3">
      <c r="C6625" s="116" t="s">
        <v>387</v>
      </c>
      <c r="D6625" s="117" t="s">
        <v>388</v>
      </c>
      <c r="E6625" s="118"/>
      <c r="F6625" s="118"/>
      <c r="G6625" s="165"/>
      <c r="H6625" s="144">
        <f>IF(AND(D6625&lt;&gt;"",F6625&lt;&gt;""),IF(C6625="",IF(F6625="OH",VLOOKUP(D6625,[1]UPAH!$B$3:$G$32,7,0),VLOOKUP(D6625,[1]BAHAN!$A$2:$D$3,4,0)),0),0)</f>
        <v>0</v>
      </c>
      <c r="I6625" s="126">
        <f>G6625*H6625</f>
        <v>0</v>
      </c>
    </row>
    <row r="6626" spans="2:10" ht="15.95" customHeight="1" thickBot="1" x14ac:dyDescent="0.3">
      <c r="C6626" s="132"/>
      <c r="D6626" s="133"/>
      <c r="E6626" s="134"/>
      <c r="F6626" s="134"/>
      <c r="G6626" s="135" t="s">
        <v>389</v>
      </c>
      <c r="H6626" s="136"/>
      <c r="I6626" s="137">
        <f>I6625</f>
        <v>0</v>
      </c>
    </row>
    <row r="6627" spans="2:10" ht="15.95" customHeight="1" x14ac:dyDescent="0.25">
      <c r="C6627" s="158" t="s">
        <v>390</v>
      </c>
      <c r="D6627" s="159" t="s">
        <v>391</v>
      </c>
      <c r="E6627" s="160"/>
      <c r="F6627" s="160"/>
      <c r="G6627" s="161"/>
      <c r="H6627" s="162">
        <f>IF(AND(D6627&lt;&gt;"",F6627&lt;&gt;""),IF(C6627="",IF(F6627="OH",VLOOKUP(D6627,[1]UPAH!$B$3:$G$32,7,0),VLOOKUP(D6627,[1]BAHAN!$A$2:$D$3,4,0)),0),0)</f>
        <v>0</v>
      </c>
      <c r="I6627" s="126">
        <f>SUM(I6616:I6626)/2</f>
        <v>395010</v>
      </c>
    </row>
    <row r="6628" spans="2:10" ht="15.95" customHeight="1" thickBot="1" x14ac:dyDescent="0.3">
      <c r="C6628" s="147" t="s">
        <v>392</v>
      </c>
      <c r="D6628" s="148" t="s">
        <v>393</v>
      </c>
      <c r="E6628" s="149"/>
      <c r="F6628" s="149"/>
      <c r="G6628" s="164">
        <v>0.1</v>
      </c>
      <c r="H6628" s="151"/>
      <c r="I6628" s="146">
        <f>G6628*I6627</f>
        <v>39501</v>
      </c>
    </row>
    <row r="6629" spans="2:10" ht="15.95" customHeight="1" thickBot="1" x14ac:dyDescent="0.3">
      <c r="C6629" s="111" t="s">
        <v>394</v>
      </c>
      <c r="D6629" s="112" t="s">
        <v>395</v>
      </c>
      <c r="E6629" s="134"/>
      <c r="F6629" s="134"/>
      <c r="G6629" s="156"/>
      <c r="H6629" s="136">
        <f>IF(AND(D6629&lt;&gt;"",F6629&lt;&gt;""),IF(C6629="",IF(F6629="OH",VLOOKUP(D6629,[1]UPAH!$B$3:$G$32,7,0),VLOOKUP(D6629,[1]BAHAN!$A$2:$D$3,4,0)),0),0)</f>
        <v>0</v>
      </c>
      <c r="I6629" s="137">
        <f>ROUNDDOWN(I6627+I6628,0)</f>
        <v>434511</v>
      </c>
    </row>
    <row r="6630" spans="2:10" ht="15.95" customHeight="1" x14ac:dyDescent="0.25">
      <c r="C6630" s="109"/>
      <c r="D6630" s="109"/>
      <c r="G6630" s="157"/>
    </row>
    <row r="6631" spans="2:10" ht="15.95" customHeight="1" thickBot="1" x14ac:dyDescent="0.3">
      <c r="B6631" s="247" t="s">
        <v>1410</v>
      </c>
      <c r="C6631" s="104" t="s">
        <v>1411</v>
      </c>
      <c r="G6631" s="157"/>
      <c r="J6631" s="110">
        <f>I6646</f>
        <v>108317</v>
      </c>
    </row>
    <row r="6632" spans="2:10" ht="15.95" customHeight="1" thickBot="1" x14ac:dyDescent="0.3">
      <c r="C6632" s="111" t="s">
        <v>328</v>
      </c>
      <c r="D6632" s="112" t="s">
        <v>359</v>
      </c>
      <c r="E6632" s="113" t="s">
        <v>360</v>
      </c>
      <c r="F6632" s="113" t="s">
        <v>330</v>
      </c>
      <c r="G6632" s="114" t="s">
        <v>361</v>
      </c>
      <c r="H6632" s="112" t="s">
        <v>362</v>
      </c>
      <c r="I6632" s="115" t="s">
        <v>363</v>
      </c>
    </row>
    <row r="6633" spans="2:10" ht="15.95" customHeight="1" x14ac:dyDescent="0.25">
      <c r="C6633" s="116" t="s">
        <v>364</v>
      </c>
      <c r="D6633" s="117" t="s">
        <v>365</v>
      </c>
      <c r="E6633" s="118"/>
      <c r="F6633" s="118"/>
      <c r="G6633" s="165"/>
      <c r="H6633" s="144"/>
      <c r="I6633" s="126"/>
    </row>
    <row r="6634" spans="2:10" ht="15.95" customHeight="1" x14ac:dyDescent="0.25">
      <c r="C6634" s="122"/>
      <c r="D6634" s="117" t="s">
        <v>366</v>
      </c>
      <c r="E6634" s="123" t="s">
        <v>367</v>
      </c>
      <c r="F6634" s="123" t="s">
        <v>368</v>
      </c>
      <c r="G6634" s="242">
        <v>0.02</v>
      </c>
      <c r="H6634" s="125">
        <f>VLOOKUP(D6634,Upah,8,FALSE)</f>
        <v>125000</v>
      </c>
      <c r="I6634" s="126">
        <f>G6634*H6634</f>
        <v>2500</v>
      </c>
    </row>
    <row r="6635" spans="2:10" ht="15.95" customHeight="1" x14ac:dyDescent="0.25">
      <c r="C6635" s="122"/>
      <c r="D6635" s="117" t="s">
        <v>611</v>
      </c>
      <c r="E6635" s="123" t="s">
        <v>370</v>
      </c>
      <c r="F6635" s="123" t="s">
        <v>368</v>
      </c>
      <c r="G6635" s="242">
        <v>0.2</v>
      </c>
      <c r="H6635" s="125">
        <f>VLOOKUP(D6635,Upah,8,FALSE)</f>
        <v>150000</v>
      </c>
      <c r="I6635" s="126">
        <f>G6635*H6635</f>
        <v>30000</v>
      </c>
    </row>
    <row r="6636" spans="2:10" ht="15.95" customHeight="1" x14ac:dyDescent="0.25">
      <c r="C6636" s="122"/>
      <c r="D6636" s="117" t="s">
        <v>429</v>
      </c>
      <c r="E6636" s="123" t="s">
        <v>372</v>
      </c>
      <c r="F6636" s="123" t="s">
        <v>368</v>
      </c>
      <c r="G6636" s="242">
        <v>0.02</v>
      </c>
      <c r="H6636" s="125">
        <f>VLOOKUP(D6636,Upah,8,FALSE)</f>
        <v>165000</v>
      </c>
      <c r="I6636" s="126">
        <f>G6636*H6636</f>
        <v>3300</v>
      </c>
    </row>
    <row r="6637" spans="2:10" ht="15.95" customHeight="1" thickBot="1" x14ac:dyDescent="0.3">
      <c r="C6637" s="122"/>
      <c r="D6637" s="117" t="s">
        <v>373</v>
      </c>
      <c r="E6637" s="123" t="s">
        <v>374</v>
      </c>
      <c r="F6637" s="123" t="s">
        <v>368</v>
      </c>
      <c r="G6637" s="242">
        <v>1E-3</v>
      </c>
      <c r="H6637" s="125">
        <f>VLOOKUP(D6637,Upah,8,FALSE)</f>
        <v>170000</v>
      </c>
      <c r="I6637" s="126">
        <f>G6637*H6637</f>
        <v>170</v>
      </c>
    </row>
    <row r="6638" spans="2:10" ht="15.95" customHeight="1" thickBot="1" x14ac:dyDescent="0.3">
      <c r="C6638" s="132"/>
      <c r="D6638" s="133"/>
      <c r="E6638" s="134"/>
      <c r="F6638" s="134"/>
      <c r="G6638" s="135" t="s">
        <v>375</v>
      </c>
      <c r="H6638" s="136"/>
      <c r="I6638" s="137">
        <f>SUM(I6634:I6637)</f>
        <v>35970</v>
      </c>
    </row>
    <row r="6639" spans="2:10" ht="15.95" customHeight="1" x14ac:dyDescent="0.25">
      <c r="C6639" s="116" t="s">
        <v>376</v>
      </c>
      <c r="D6639" s="117" t="s">
        <v>377</v>
      </c>
      <c r="E6639" s="118"/>
      <c r="F6639" s="118"/>
      <c r="G6639" s="165"/>
      <c r="H6639" s="144"/>
      <c r="I6639" s="126"/>
    </row>
    <row r="6640" spans="2:10" ht="15.95" customHeight="1" thickBot="1" x14ac:dyDescent="0.3">
      <c r="C6640" s="122"/>
      <c r="D6640" s="117" t="s">
        <v>1412</v>
      </c>
      <c r="E6640" s="118"/>
      <c r="F6640" s="123" t="s">
        <v>418</v>
      </c>
      <c r="G6640" s="242">
        <v>1</v>
      </c>
      <c r="H6640" s="144">
        <f>VLOOKUP(D6640,Bahan,6,FALSE)</f>
        <v>62500</v>
      </c>
      <c r="I6640" s="126">
        <f>G6640*H6640</f>
        <v>62500</v>
      </c>
    </row>
    <row r="6641" spans="2:10" ht="15.95" customHeight="1" thickBot="1" x14ac:dyDescent="0.3">
      <c r="C6641" s="132"/>
      <c r="D6641" s="133"/>
      <c r="E6641" s="134"/>
      <c r="F6641" s="134"/>
      <c r="G6641" s="135" t="s">
        <v>386</v>
      </c>
      <c r="H6641" s="136"/>
      <c r="I6641" s="137">
        <f>SUM(I6639:I6640)</f>
        <v>62500</v>
      </c>
    </row>
    <row r="6642" spans="2:10" ht="15.95" customHeight="1" thickBot="1" x14ac:dyDescent="0.3">
      <c r="C6642" s="116" t="s">
        <v>387</v>
      </c>
      <c r="D6642" s="117" t="s">
        <v>388</v>
      </c>
      <c r="E6642" s="118"/>
      <c r="F6642" s="118"/>
      <c r="G6642" s="165"/>
      <c r="H6642" s="144">
        <f>IF(AND(D6642&lt;&gt;"",F6642&lt;&gt;""),IF(C6642="",IF(F6642="OH",VLOOKUP(D6642,[1]UPAH!$B$3:$G$32,7,0),VLOOKUP(D6642,[1]BAHAN!$A$2:$D$3,4,0)),0),0)</f>
        <v>0</v>
      </c>
      <c r="I6642" s="126">
        <f>G6642*H6642</f>
        <v>0</v>
      </c>
    </row>
    <row r="6643" spans="2:10" ht="15.95" customHeight="1" thickBot="1" x14ac:dyDescent="0.3">
      <c r="C6643" s="132"/>
      <c r="D6643" s="133"/>
      <c r="E6643" s="134"/>
      <c r="F6643" s="134"/>
      <c r="G6643" s="135" t="s">
        <v>389</v>
      </c>
      <c r="H6643" s="136"/>
      <c r="I6643" s="137">
        <f>I6642</f>
        <v>0</v>
      </c>
    </row>
    <row r="6644" spans="2:10" ht="15.95" customHeight="1" x14ac:dyDescent="0.25">
      <c r="C6644" s="158" t="s">
        <v>390</v>
      </c>
      <c r="D6644" s="159" t="s">
        <v>391</v>
      </c>
      <c r="E6644" s="160"/>
      <c r="F6644" s="160"/>
      <c r="G6644" s="161"/>
      <c r="H6644" s="162">
        <f>IF(AND(D6644&lt;&gt;"",F6644&lt;&gt;""),IF(C6644="",IF(F6644="OH",VLOOKUP(D6644,[1]UPAH!$B$3:$G$32,7,0),VLOOKUP(D6644,[1]BAHAN!$A$2:$D$3,4,0)),0),0)</f>
        <v>0</v>
      </c>
      <c r="I6644" s="126">
        <f>SUM(I6633:I6643)/2</f>
        <v>98470</v>
      </c>
    </row>
    <row r="6645" spans="2:10" ht="15.95" customHeight="1" thickBot="1" x14ac:dyDescent="0.3">
      <c r="C6645" s="147" t="s">
        <v>392</v>
      </c>
      <c r="D6645" s="148" t="s">
        <v>393</v>
      </c>
      <c r="E6645" s="149"/>
      <c r="F6645" s="149"/>
      <c r="G6645" s="164">
        <v>0.1</v>
      </c>
      <c r="H6645" s="151"/>
      <c r="I6645" s="146">
        <f>G6645*I6644</f>
        <v>9847</v>
      </c>
    </row>
    <row r="6646" spans="2:10" ht="15.95" customHeight="1" thickBot="1" x14ac:dyDescent="0.3">
      <c r="C6646" s="111" t="s">
        <v>394</v>
      </c>
      <c r="D6646" s="112" t="s">
        <v>395</v>
      </c>
      <c r="E6646" s="134"/>
      <c r="F6646" s="134"/>
      <c r="G6646" s="156"/>
      <c r="H6646" s="136">
        <f>IF(AND(D6646&lt;&gt;"",F6646&lt;&gt;""),IF(C6646="",IF(F6646="OH",VLOOKUP(D6646,[1]UPAH!$B$3:$G$32,7,0),VLOOKUP(D6646,[1]BAHAN!$A$2:$D$3,4,0)),0),0)</f>
        <v>0</v>
      </c>
      <c r="I6646" s="137">
        <f>ROUNDDOWN(I6644+I6645,0)</f>
        <v>108317</v>
      </c>
    </row>
    <row r="6647" spans="2:10" ht="15.95" customHeight="1" x14ac:dyDescent="0.25">
      <c r="C6647" s="109"/>
      <c r="D6647" s="109"/>
      <c r="G6647" s="157"/>
    </row>
    <row r="6648" spans="2:10" ht="15.95" customHeight="1" thickBot="1" x14ac:dyDescent="0.3">
      <c r="B6648" s="109" t="s">
        <v>1413</v>
      </c>
      <c r="C6648" s="104" t="s">
        <v>1414</v>
      </c>
      <c r="G6648" s="157"/>
      <c r="J6648" s="110">
        <f>I6663</f>
        <v>232386</v>
      </c>
    </row>
    <row r="6649" spans="2:10" ht="15.95" customHeight="1" thickBot="1" x14ac:dyDescent="0.3">
      <c r="C6649" s="111" t="s">
        <v>328</v>
      </c>
      <c r="D6649" s="112" t="s">
        <v>359</v>
      </c>
      <c r="E6649" s="113" t="s">
        <v>360</v>
      </c>
      <c r="F6649" s="113" t="s">
        <v>330</v>
      </c>
      <c r="G6649" s="114" t="s">
        <v>361</v>
      </c>
      <c r="H6649" s="112" t="s">
        <v>362</v>
      </c>
      <c r="I6649" s="115" t="s">
        <v>363</v>
      </c>
    </row>
    <row r="6650" spans="2:10" ht="15.95" customHeight="1" x14ac:dyDescent="0.25">
      <c r="C6650" s="116" t="s">
        <v>364</v>
      </c>
      <c r="D6650" s="117" t="s">
        <v>365</v>
      </c>
      <c r="E6650" s="118"/>
      <c r="F6650" s="118"/>
      <c r="G6650" s="165"/>
      <c r="H6650" s="144"/>
      <c r="I6650" s="126"/>
    </row>
    <row r="6651" spans="2:10" ht="15.95" customHeight="1" x14ac:dyDescent="0.25">
      <c r="C6651" s="122"/>
      <c r="D6651" s="117" t="s">
        <v>366</v>
      </c>
      <c r="E6651" s="123" t="s">
        <v>367</v>
      </c>
      <c r="F6651" s="123" t="s">
        <v>368</v>
      </c>
      <c r="G6651" s="242">
        <v>0.05</v>
      </c>
      <c r="H6651" s="125">
        <f>VLOOKUP(D6651,Upah,8,FALSE)</f>
        <v>125000</v>
      </c>
      <c r="I6651" s="126">
        <f>G6651*H6651</f>
        <v>6250</v>
      </c>
    </row>
    <row r="6652" spans="2:10" ht="15.95" customHeight="1" x14ac:dyDescent="0.25">
      <c r="C6652" s="122"/>
      <c r="D6652" s="117" t="s">
        <v>611</v>
      </c>
      <c r="E6652" s="123" t="s">
        <v>370</v>
      </c>
      <c r="F6652" s="123" t="s">
        <v>368</v>
      </c>
      <c r="G6652" s="242">
        <v>0.5</v>
      </c>
      <c r="H6652" s="125">
        <f>VLOOKUP(D6652,Upah,8,FALSE)</f>
        <v>150000</v>
      </c>
      <c r="I6652" s="126">
        <f>G6652*H6652</f>
        <v>75000</v>
      </c>
    </row>
    <row r="6653" spans="2:10" ht="15.95" customHeight="1" x14ac:dyDescent="0.25">
      <c r="C6653" s="122"/>
      <c r="D6653" s="117" t="s">
        <v>429</v>
      </c>
      <c r="E6653" s="123" t="s">
        <v>372</v>
      </c>
      <c r="F6653" s="123" t="s">
        <v>368</v>
      </c>
      <c r="G6653" s="242">
        <v>0.05</v>
      </c>
      <c r="H6653" s="125">
        <f>VLOOKUP(D6653,Upah,8,FALSE)</f>
        <v>165000</v>
      </c>
      <c r="I6653" s="126">
        <f>G6653*H6653</f>
        <v>8250</v>
      </c>
    </row>
    <row r="6654" spans="2:10" ht="15.95" customHeight="1" thickBot="1" x14ac:dyDescent="0.3">
      <c r="C6654" s="122"/>
      <c r="D6654" s="117" t="s">
        <v>373</v>
      </c>
      <c r="E6654" s="123" t="s">
        <v>374</v>
      </c>
      <c r="F6654" s="123" t="s">
        <v>368</v>
      </c>
      <c r="G6654" s="242">
        <v>3.0000000000000001E-3</v>
      </c>
      <c r="H6654" s="125">
        <f>VLOOKUP(D6654,Upah,8,FALSE)</f>
        <v>170000</v>
      </c>
      <c r="I6654" s="126">
        <f>G6654*H6654</f>
        <v>510</v>
      </c>
    </row>
    <row r="6655" spans="2:10" ht="15.95" customHeight="1" thickBot="1" x14ac:dyDescent="0.3">
      <c r="C6655" s="132"/>
      <c r="D6655" s="133"/>
      <c r="E6655" s="134"/>
      <c r="F6655" s="134"/>
      <c r="G6655" s="135" t="s">
        <v>375</v>
      </c>
      <c r="H6655" s="136"/>
      <c r="I6655" s="137">
        <f>SUM(I6651:I6654)</f>
        <v>90010</v>
      </c>
    </row>
    <row r="6656" spans="2:10" ht="15.95" customHeight="1" x14ac:dyDescent="0.25">
      <c r="C6656" s="116" t="s">
        <v>376</v>
      </c>
      <c r="D6656" s="117" t="s">
        <v>377</v>
      </c>
      <c r="E6656" s="118"/>
      <c r="F6656" s="118"/>
      <c r="G6656" s="165"/>
      <c r="H6656" s="144"/>
      <c r="I6656" s="126"/>
    </row>
    <row r="6657" spans="2:10" ht="15.95" customHeight="1" thickBot="1" x14ac:dyDescent="0.3">
      <c r="C6657" s="122"/>
      <c r="D6657" s="117" t="s">
        <v>1415</v>
      </c>
      <c r="E6657" s="118"/>
      <c r="F6657" s="123" t="s">
        <v>418</v>
      </c>
      <c r="G6657" s="242">
        <v>1</v>
      </c>
      <c r="H6657" s="144">
        <f>VLOOKUP(D6657,Bahan,6,FALSE)</f>
        <v>121250</v>
      </c>
      <c r="I6657" s="126">
        <f>G6657*H6657</f>
        <v>121250</v>
      </c>
    </row>
    <row r="6658" spans="2:10" ht="15.95" customHeight="1" thickBot="1" x14ac:dyDescent="0.3">
      <c r="C6658" s="132"/>
      <c r="D6658" s="133"/>
      <c r="E6658" s="134"/>
      <c r="F6658" s="134"/>
      <c r="G6658" s="135" t="s">
        <v>386</v>
      </c>
      <c r="H6658" s="136"/>
      <c r="I6658" s="137">
        <f>SUM(I6656:I6657)</f>
        <v>121250</v>
      </c>
    </row>
    <row r="6659" spans="2:10" ht="15.95" customHeight="1" thickBot="1" x14ac:dyDescent="0.3">
      <c r="C6659" s="116" t="s">
        <v>387</v>
      </c>
      <c r="D6659" s="117" t="s">
        <v>388</v>
      </c>
      <c r="E6659" s="118"/>
      <c r="F6659" s="118"/>
      <c r="G6659" s="165"/>
      <c r="H6659" s="144">
        <f>IF(AND(D6659&lt;&gt;"",F6659&lt;&gt;""),IF(C6659="",IF(F6659="OH",VLOOKUP(D6659,[1]UPAH!$B$3:$G$32,7,0),VLOOKUP(D6659,[1]BAHAN!$A$2:$D$3,4,0)),0),0)</f>
        <v>0</v>
      </c>
      <c r="I6659" s="126">
        <f>G6659*H6659</f>
        <v>0</v>
      </c>
    </row>
    <row r="6660" spans="2:10" ht="15.95" customHeight="1" thickBot="1" x14ac:dyDescent="0.3">
      <c r="C6660" s="132"/>
      <c r="D6660" s="133"/>
      <c r="E6660" s="134"/>
      <c r="F6660" s="134"/>
      <c r="G6660" s="135" t="s">
        <v>389</v>
      </c>
      <c r="H6660" s="136"/>
      <c r="I6660" s="137">
        <f>I6659</f>
        <v>0</v>
      </c>
    </row>
    <row r="6661" spans="2:10" ht="15.95" customHeight="1" x14ac:dyDescent="0.25">
      <c r="C6661" s="158" t="s">
        <v>390</v>
      </c>
      <c r="D6661" s="159" t="s">
        <v>391</v>
      </c>
      <c r="E6661" s="160"/>
      <c r="F6661" s="160"/>
      <c r="G6661" s="161"/>
      <c r="H6661" s="162">
        <f>IF(AND(D6661&lt;&gt;"",F6661&lt;&gt;""),IF(C6661="",IF(F6661="OH",VLOOKUP(D6661,[1]UPAH!$B$3:$G$32,7,0),VLOOKUP(D6661,[1]BAHAN!$A$2:$D$3,4,0)),0),0)</f>
        <v>0</v>
      </c>
      <c r="I6661" s="126">
        <f>SUM(I6650:I6660)/2</f>
        <v>211260</v>
      </c>
    </row>
    <row r="6662" spans="2:10" ht="15.95" customHeight="1" thickBot="1" x14ac:dyDescent="0.3">
      <c r="C6662" s="147" t="s">
        <v>392</v>
      </c>
      <c r="D6662" s="148" t="s">
        <v>393</v>
      </c>
      <c r="E6662" s="149"/>
      <c r="F6662" s="149"/>
      <c r="G6662" s="164">
        <v>0.1</v>
      </c>
      <c r="H6662" s="151"/>
      <c r="I6662" s="146">
        <f>G6662*I6661</f>
        <v>21126</v>
      </c>
    </row>
    <row r="6663" spans="2:10" ht="15.95" customHeight="1" thickBot="1" x14ac:dyDescent="0.3">
      <c r="C6663" s="111" t="s">
        <v>394</v>
      </c>
      <c r="D6663" s="112" t="s">
        <v>395</v>
      </c>
      <c r="E6663" s="134"/>
      <c r="F6663" s="134"/>
      <c r="G6663" s="156"/>
      <c r="H6663" s="136">
        <f>IF(AND(D6663&lt;&gt;"",F6663&lt;&gt;""),IF(C6663="",IF(F6663="OH",VLOOKUP(D6663,[1]UPAH!$B$3:$G$32,7,0),VLOOKUP(D6663,[1]BAHAN!$A$2:$D$3,4,0)),0),0)</f>
        <v>0</v>
      </c>
      <c r="I6663" s="137">
        <f>ROUNDDOWN(I6661+I6662,0)</f>
        <v>232386</v>
      </c>
    </row>
    <row r="6664" spans="2:10" ht="15.95" customHeight="1" x14ac:dyDescent="0.25">
      <c r="C6664" s="109"/>
      <c r="D6664" s="109"/>
      <c r="G6664" s="157"/>
    </row>
    <row r="6665" spans="2:10" ht="15.95" customHeight="1" thickBot="1" x14ac:dyDescent="0.3">
      <c r="B6665" s="109" t="s">
        <v>1416</v>
      </c>
      <c r="C6665" s="104" t="s">
        <v>1417</v>
      </c>
      <c r="G6665" s="157"/>
      <c r="J6665" s="110">
        <f>I6680</f>
        <v>146751</v>
      </c>
    </row>
    <row r="6666" spans="2:10" ht="15.95" customHeight="1" thickBot="1" x14ac:dyDescent="0.3">
      <c r="C6666" s="111" t="s">
        <v>328</v>
      </c>
      <c r="D6666" s="112" t="s">
        <v>359</v>
      </c>
      <c r="E6666" s="113" t="s">
        <v>360</v>
      </c>
      <c r="F6666" s="113" t="s">
        <v>330</v>
      </c>
      <c r="G6666" s="114" t="s">
        <v>361</v>
      </c>
      <c r="H6666" s="112" t="s">
        <v>362</v>
      </c>
      <c r="I6666" s="115" t="s">
        <v>363</v>
      </c>
    </row>
    <row r="6667" spans="2:10" ht="15.95" customHeight="1" x14ac:dyDescent="0.25">
      <c r="C6667" s="116" t="s">
        <v>364</v>
      </c>
      <c r="D6667" s="117" t="s">
        <v>365</v>
      </c>
      <c r="E6667" s="118"/>
      <c r="F6667" s="118"/>
      <c r="G6667" s="165"/>
      <c r="H6667" s="144"/>
      <c r="I6667" s="126"/>
    </row>
    <row r="6668" spans="2:10" ht="15.95" customHeight="1" x14ac:dyDescent="0.25">
      <c r="C6668" s="122"/>
      <c r="D6668" s="117" t="s">
        <v>366</v>
      </c>
      <c r="E6668" s="123" t="s">
        <v>367</v>
      </c>
      <c r="F6668" s="123" t="s">
        <v>368</v>
      </c>
      <c r="G6668" s="242">
        <v>0.01</v>
      </c>
      <c r="H6668" s="125">
        <f>VLOOKUP(D6668,Upah,8,FALSE)</f>
        <v>125000</v>
      </c>
      <c r="I6668" s="126">
        <f>G6668*H6668</f>
        <v>1250</v>
      </c>
    </row>
    <row r="6669" spans="2:10" ht="15.95" customHeight="1" x14ac:dyDescent="0.25">
      <c r="C6669" s="122"/>
      <c r="D6669" s="117" t="s">
        <v>611</v>
      </c>
      <c r="E6669" s="123" t="s">
        <v>370</v>
      </c>
      <c r="F6669" s="123" t="s">
        <v>368</v>
      </c>
      <c r="G6669" s="242">
        <v>0.1</v>
      </c>
      <c r="H6669" s="125">
        <f>VLOOKUP(D6669,Upah,8,FALSE)</f>
        <v>150000</v>
      </c>
      <c r="I6669" s="126">
        <f>G6669*H6669</f>
        <v>15000</v>
      </c>
    </row>
    <row r="6670" spans="2:10" ht="15.95" customHeight="1" x14ac:dyDescent="0.25">
      <c r="C6670" s="122"/>
      <c r="D6670" s="117" t="s">
        <v>429</v>
      </c>
      <c r="E6670" s="123" t="s">
        <v>372</v>
      </c>
      <c r="F6670" s="123" t="s">
        <v>368</v>
      </c>
      <c r="G6670" s="242">
        <v>0.01</v>
      </c>
      <c r="H6670" s="125">
        <f>VLOOKUP(D6670,Upah,8,FALSE)</f>
        <v>165000</v>
      </c>
      <c r="I6670" s="126">
        <f>G6670*H6670</f>
        <v>1650</v>
      </c>
    </row>
    <row r="6671" spans="2:10" ht="15.95" customHeight="1" thickBot="1" x14ac:dyDescent="0.3">
      <c r="C6671" s="122"/>
      <c r="D6671" s="117" t="s">
        <v>373</v>
      </c>
      <c r="E6671" s="123" t="s">
        <v>374</v>
      </c>
      <c r="F6671" s="123" t="s">
        <v>368</v>
      </c>
      <c r="G6671" s="242">
        <v>5.0000000000000001E-3</v>
      </c>
      <c r="H6671" s="125">
        <f>VLOOKUP(D6671,Upah,8,FALSE)</f>
        <v>170000</v>
      </c>
      <c r="I6671" s="126">
        <f>G6671*H6671</f>
        <v>850</v>
      </c>
    </row>
    <row r="6672" spans="2:10" ht="15.95" customHeight="1" thickBot="1" x14ac:dyDescent="0.3">
      <c r="C6672" s="132"/>
      <c r="D6672" s="133"/>
      <c r="E6672" s="134"/>
      <c r="F6672" s="134"/>
      <c r="G6672" s="135" t="s">
        <v>375</v>
      </c>
      <c r="H6672" s="136"/>
      <c r="I6672" s="137">
        <f>SUM(I6668:I6671)</f>
        <v>18750</v>
      </c>
    </row>
    <row r="6673" spans="2:10" ht="15.95" customHeight="1" x14ac:dyDescent="0.25">
      <c r="C6673" s="116" t="s">
        <v>376</v>
      </c>
      <c r="D6673" s="117" t="s">
        <v>377</v>
      </c>
      <c r="E6673" s="118"/>
      <c r="F6673" s="118"/>
      <c r="G6673" s="165"/>
      <c r="H6673" s="144"/>
      <c r="I6673" s="126"/>
    </row>
    <row r="6674" spans="2:10" ht="15.95" customHeight="1" thickBot="1" x14ac:dyDescent="0.3">
      <c r="C6674" s="122"/>
      <c r="D6674" s="117" t="s">
        <v>1418</v>
      </c>
      <c r="E6674" s="118"/>
      <c r="F6674" s="123" t="s">
        <v>418</v>
      </c>
      <c r="G6674" s="242">
        <v>1</v>
      </c>
      <c r="H6674" s="144">
        <f>VLOOKUP(D6674,Bahan,6,FALSE)</f>
        <v>114660</v>
      </c>
      <c r="I6674" s="126">
        <f>G6674*H6674</f>
        <v>114660</v>
      </c>
    </row>
    <row r="6675" spans="2:10" ht="15.95" customHeight="1" thickBot="1" x14ac:dyDescent="0.3">
      <c r="C6675" s="132"/>
      <c r="D6675" s="133"/>
      <c r="E6675" s="134"/>
      <c r="F6675" s="134"/>
      <c r="G6675" s="135" t="s">
        <v>386</v>
      </c>
      <c r="H6675" s="136"/>
      <c r="I6675" s="137">
        <f>SUM(I6673:I6674)</f>
        <v>114660</v>
      </c>
    </row>
    <row r="6676" spans="2:10" ht="15.95" customHeight="1" thickBot="1" x14ac:dyDescent="0.3">
      <c r="C6676" s="116" t="s">
        <v>387</v>
      </c>
      <c r="D6676" s="117" t="s">
        <v>388</v>
      </c>
      <c r="E6676" s="118"/>
      <c r="F6676" s="118"/>
      <c r="G6676" s="165"/>
      <c r="H6676" s="144">
        <f>IF(AND(D6676&lt;&gt;"",F6676&lt;&gt;""),IF(C6676="",IF(F6676="OH",VLOOKUP(D6676,[1]UPAH!$B$3:$G$32,7,0),VLOOKUP(D6676,[1]BAHAN!$A$2:$D$3,4,0)),0),0)</f>
        <v>0</v>
      </c>
      <c r="I6676" s="126">
        <f>G6676*H6676</f>
        <v>0</v>
      </c>
    </row>
    <row r="6677" spans="2:10" ht="15.95" customHeight="1" thickBot="1" x14ac:dyDescent="0.3">
      <c r="C6677" s="132"/>
      <c r="D6677" s="133"/>
      <c r="E6677" s="134"/>
      <c r="F6677" s="134"/>
      <c r="G6677" s="135" t="s">
        <v>389</v>
      </c>
      <c r="H6677" s="136"/>
      <c r="I6677" s="137">
        <f>I6676</f>
        <v>0</v>
      </c>
    </row>
    <row r="6678" spans="2:10" ht="15.95" customHeight="1" x14ac:dyDescent="0.25">
      <c r="C6678" s="158" t="s">
        <v>390</v>
      </c>
      <c r="D6678" s="159" t="s">
        <v>391</v>
      </c>
      <c r="E6678" s="160"/>
      <c r="F6678" s="160"/>
      <c r="G6678" s="161"/>
      <c r="H6678" s="162">
        <f>IF(AND(D6678&lt;&gt;"",F6678&lt;&gt;""),IF(C6678="",IF(F6678="OH",VLOOKUP(D6678,[1]UPAH!$B$3:$G$32,7,0),VLOOKUP(D6678,[1]BAHAN!$A$2:$D$3,4,0)),0),0)</f>
        <v>0</v>
      </c>
      <c r="I6678" s="126">
        <f>SUM(I6667:I6677)/2</f>
        <v>133410</v>
      </c>
    </row>
    <row r="6679" spans="2:10" ht="15.95" customHeight="1" thickBot="1" x14ac:dyDescent="0.3">
      <c r="C6679" s="147" t="s">
        <v>392</v>
      </c>
      <c r="D6679" s="148" t="s">
        <v>393</v>
      </c>
      <c r="E6679" s="149"/>
      <c r="F6679" s="149"/>
      <c r="G6679" s="164">
        <v>0.1</v>
      </c>
      <c r="H6679" s="151"/>
      <c r="I6679" s="146">
        <f>G6679*I6678</f>
        <v>13341</v>
      </c>
    </row>
    <row r="6680" spans="2:10" ht="15.95" customHeight="1" thickBot="1" x14ac:dyDescent="0.3">
      <c r="C6680" s="111" t="s">
        <v>394</v>
      </c>
      <c r="D6680" s="112" t="s">
        <v>395</v>
      </c>
      <c r="E6680" s="134"/>
      <c r="F6680" s="134"/>
      <c r="G6680" s="156"/>
      <c r="H6680" s="136">
        <f>IF(AND(D6680&lt;&gt;"",F6680&lt;&gt;""),IF(C6680="",IF(F6680="OH",VLOOKUP(D6680,[1]UPAH!$B$3:$G$32,7,0),VLOOKUP(D6680,[1]BAHAN!$A$2:$D$3,4,0)),0),0)</f>
        <v>0</v>
      </c>
      <c r="I6680" s="137">
        <f>ROUNDDOWN(I6678+I6679,0)</f>
        <v>146751</v>
      </c>
    </row>
    <row r="6681" spans="2:10" ht="15.95" customHeight="1" x14ac:dyDescent="0.25">
      <c r="C6681" s="109"/>
      <c r="D6681" s="109"/>
      <c r="G6681" s="157"/>
    </row>
    <row r="6682" spans="2:10" ht="15.95" customHeight="1" thickBot="1" x14ac:dyDescent="0.3">
      <c r="B6682" s="109" t="s">
        <v>1419</v>
      </c>
      <c r="C6682" s="104" t="s">
        <v>1420</v>
      </c>
      <c r="G6682" s="157"/>
      <c r="J6682" s="110">
        <f>I6697</f>
        <v>380501</v>
      </c>
    </row>
    <row r="6683" spans="2:10" ht="15.95" customHeight="1" thickBot="1" x14ac:dyDescent="0.3">
      <c r="C6683" s="111" t="s">
        <v>328</v>
      </c>
      <c r="D6683" s="112" t="s">
        <v>359</v>
      </c>
      <c r="E6683" s="113" t="s">
        <v>360</v>
      </c>
      <c r="F6683" s="113" t="s">
        <v>330</v>
      </c>
      <c r="G6683" s="114" t="s">
        <v>361</v>
      </c>
      <c r="H6683" s="112" t="s">
        <v>362</v>
      </c>
      <c r="I6683" s="115" t="s">
        <v>363</v>
      </c>
    </row>
    <row r="6684" spans="2:10" ht="15.95" customHeight="1" x14ac:dyDescent="0.25">
      <c r="C6684" s="116" t="s">
        <v>364</v>
      </c>
      <c r="D6684" s="117" t="s">
        <v>365</v>
      </c>
      <c r="E6684" s="118"/>
      <c r="F6684" s="118"/>
      <c r="G6684" s="165"/>
      <c r="H6684" s="144"/>
      <c r="I6684" s="126"/>
    </row>
    <row r="6685" spans="2:10" ht="15.95" customHeight="1" x14ac:dyDescent="0.25">
      <c r="C6685" s="122"/>
      <c r="D6685" s="117" t="s">
        <v>366</v>
      </c>
      <c r="E6685" s="123" t="s">
        <v>367</v>
      </c>
      <c r="F6685" s="123" t="s">
        <v>368</v>
      </c>
      <c r="G6685" s="242">
        <v>0.06</v>
      </c>
      <c r="H6685" s="125">
        <f>VLOOKUP(D6685,Upah,8,FALSE)</f>
        <v>125000</v>
      </c>
      <c r="I6685" s="126">
        <f>G6685*H6685</f>
        <v>7500</v>
      </c>
    </row>
    <row r="6686" spans="2:10" ht="15.95" customHeight="1" x14ac:dyDescent="0.25">
      <c r="C6686" s="122"/>
      <c r="D6686" s="117" t="s">
        <v>611</v>
      </c>
      <c r="E6686" s="123" t="s">
        <v>370</v>
      </c>
      <c r="F6686" s="123" t="s">
        <v>368</v>
      </c>
      <c r="G6686" s="242">
        <v>0.6</v>
      </c>
      <c r="H6686" s="125">
        <f>VLOOKUP(D6686,Upah,8,FALSE)</f>
        <v>150000</v>
      </c>
      <c r="I6686" s="126">
        <f>G6686*H6686</f>
        <v>90000</v>
      </c>
    </row>
    <row r="6687" spans="2:10" ht="15.95" customHeight="1" x14ac:dyDescent="0.25">
      <c r="C6687" s="122"/>
      <c r="D6687" s="117" t="s">
        <v>429</v>
      </c>
      <c r="E6687" s="123" t="s">
        <v>372</v>
      </c>
      <c r="F6687" s="123" t="s">
        <v>368</v>
      </c>
      <c r="G6687" s="242">
        <v>0.06</v>
      </c>
      <c r="H6687" s="125">
        <f>VLOOKUP(D6687,Upah,8,FALSE)</f>
        <v>165000</v>
      </c>
      <c r="I6687" s="126">
        <f>G6687*H6687</f>
        <v>9900</v>
      </c>
    </row>
    <row r="6688" spans="2:10" ht="15.95" customHeight="1" thickBot="1" x14ac:dyDescent="0.3">
      <c r="C6688" s="122"/>
      <c r="D6688" s="117" t="s">
        <v>373</v>
      </c>
      <c r="E6688" s="123" t="s">
        <v>374</v>
      </c>
      <c r="F6688" s="123" t="s">
        <v>368</v>
      </c>
      <c r="G6688" s="242">
        <v>3.0000000000000001E-3</v>
      </c>
      <c r="H6688" s="125">
        <f>VLOOKUP(D6688,Upah,8,FALSE)</f>
        <v>170000</v>
      </c>
      <c r="I6688" s="126">
        <f>G6688*H6688</f>
        <v>510</v>
      </c>
    </row>
    <row r="6689" spans="2:10" ht="15.95" customHeight="1" thickBot="1" x14ac:dyDescent="0.3">
      <c r="C6689" s="132"/>
      <c r="D6689" s="133"/>
      <c r="E6689" s="134"/>
      <c r="F6689" s="134"/>
      <c r="G6689" s="135" t="s">
        <v>375</v>
      </c>
      <c r="H6689" s="136"/>
      <c r="I6689" s="137">
        <f>SUM(I6685:I6688)</f>
        <v>107910</v>
      </c>
    </row>
    <row r="6690" spans="2:10" ht="15.95" customHeight="1" x14ac:dyDescent="0.25">
      <c r="C6690" s="116" t="s">
        <v>376</v>
      </c>
      <c r="D6690" s="117" t="s">
        <v>377</v>
      </c>
      <c r="E6690" s="118"/>
      <c r="F6690" s="118"/>
      <c r="G6690" s="165"/>
      <c r="H6690" s="144"/>
      <c r="I6690" s="126"/>
    </row>
    <row r="6691" spans="2:10" ht="15.95" customHeight="1" thickBot="1" x14ac:dyDescent="0.3">
      <c r="C6691" s="122"/>
      <c r="D6691" s="117" t="s">
        <v>1421</v>
      </c>
      <c r="E6691" s="118"/>
      <c r="F6691" s="123" t="s">
        <v>1422</v>
      </c>
      <c r="G6691" s="242">
        <v>1</v>
      </c>
      <c r="H6691" s="144">
        <f>VLOOKUP(D6691,Bahan,6,FALSE)</f>
        <v>238000</v>
      </c>
      <c r="I6691" s="126">
        <f>G6691*H6691</f>
        <v>238000</v>
      </c>
    </row>
    <row r="6692" spans="2:10" ht="15.95" customHeight="1" thickBot="1" x14ac:dyDescent="0.3">
      <c r="C6692" s="132"/>
      <c r="D6692" s="133"/>
      <c r="E6692" s="134"/>
      <c r="F6692" s="134"/>
      <c r="G6692" s="135" t="s">
        <v>386</v>
      </c>
      <c r="H6692" s="136"/>
      <c r="I6692" s="137">
        <f>SUM(I6690:I6691)</f>
        <v>238000</v>
      </c>
    </row>
    <row r="6693" spans="2:10" ht="15.95" customHeight="1" thickBot="1" x14ac:dyDescent="0.3">
      <c r="C6693" s="116" t="s">
        <v>387</v>
      </c>
      <c r="D6693" s="117" t="s">
        <v>388</v>
      </c>
      <c r="E6693" s="118"/>
      <c r="F6693" s="118"/>
      <c r="G6693" s="165"/>
      <c r="H6693" s="144">
        <f>IF(AND(D6693&lt;&gt;"",F6693&lt;&gt;""),IF(C6693="",IF(F6693="OH",VLOOKUP(D6693,[1]UPAH!$B$3:$G$32,7,0),VLOOKUP(D6693,[1]BAHAN!$A$2:$D$3,4,0)),0),0)</f>
        <v>0</v>
      </c>
      <c r="I6693" s="126">
        <f>G6693*H6693</f>
        <v>0</v>
      </c>
    </row>
    <row r="6694" spans="2:10" ht="15.95" customHeight="1" thickBot="1" x14ac:dyDescent="0.3">
      <c r="C6694" s="132"/>
      <c r="D6694" s="133"/>
      <c r="E6694" s="134"/>
      <c r="F6694" s="134"/>
      <c r="G6694" s="135" t="s">
        <v>389</v>
      </c>
      <c r="H6694" s="136"/>
      <c r="I6694" s="137">
        <f>I6693</f>
        <v>0</v>
      </c>
    </row>
    <row r="6695" spans="2:10" ht="15.95" customHeight="1" x14ac:dyDescent="0.25">
      <c r="C6695" s="158" t="s">
        <v>390</v>
      </c>
      <c r="D6695" s="159" t="s">
        <v>391</v>
      </c>
      <c r="E6695" s="160"/>
      <c r="F6695" s="160"/>
      <c r="G6695" s="161"/>
      <c r="H6695" s="162">
        <f>IF(AND(D6695&lt;&gt;"",F6695&lt;&gt;""),IF(C6695="",IF(F6695="OH",VLOOKUP(D6695,[1]UPAH!$B$3:$G$32,7,0),VLOOKUP(D6695,[1]BAHAN!$A$2:$D$3,4,0)),0),0)</f>
        <v>0</v>
      </c>
      <c r="I6695" s="126">
        <f>SUM(I6684:I6694)/2</f>
        <v>345910</v>
      </c>
    </row>
    <row r="6696" spans="2:10" ht="15.95" customHeight="1" thickBot="1" x14ac:dyDescent="0.3">
      <c r="C6696" s="147" t="s">
        <v>392</v>
      </c>
      <c r="D6696" s="148" t="s">
        <v>393</v>
      </c>
      <c r="E6696" s="149"/>
      <c r="F6696" s="149"/>
      <c r="G6696" s="164">
        <v>0.1</v>
      </c>
      <c r="H6696" s="151"/>
      <c r="I6696" s="146">
        <f>G6696*I6695</f>
        <v>34591</v>
      </c>
    </row>
    <row r="6697" spans="2:10" ht="15.95" customHeight="1" thickBot="1" x14ac:dyDescent="0.3">
      <c r="C6697" s="111" t="s">
        <v>394</v>
      </c>
      <c r="D6697" s="112" t="s">
        <v>395</v>
      </c>
      <c r="E6697" s="134"/>
      <c r="F6697" s="134"/>
      <c r="G6697" s="156"/>
      <c r="H6697" s="136">
        <f>IF(AND(D6697&lt;&gt;"",F6697&lt;&gt;""),IF(C6697="",IF(F6697="OH",VLOOKUP(D6697,[1]UPAH!$B$3:$G$32,7,0),VLOOKUP(D6697,[1]BAHAN!$A$2:$D$3,4,0)),0),0)</f>
        <v>0</v>
      </c>
      <c r="I6697" s="137">
        <f>ROUNDDOWN(I6695+I6696,0)</f>
        <v>380501</v>
      </c>
    </row>
    <row r="6698" spans="2:10" ht="15.95" customHeight="1" x14ac:dyDescent="0.25">
      <c r="C6698" s="109"/>
      <c r="D6698" s="109"/>
      <c r="G6698" s="157"/>
    </row>
    <row r="6699" spans="2:10" ht="15.95" customHeight="1" thickBot="1" x14ac:dyDescent="0.3">
      <c r="B6699" s="109" t="s">
        <v>1423</v>
      </c>
      <c r="C6699" s="104" t="s">
        <v>1424</v>
      </c>
      <c r="G6699" s="157"/>
      <c r="J6699" s="110">
        <f>I6714</f>
        <v>66100</v>
      </c>
    </row>
    <row r="6700" spans="2:10" ht="15.95" customHeight="1" thickBot="1" x14ac:dyDescent="0.3">
      <c r="C6700" s="111" t="s">
        <v>328</v>
      </c>
      <c r="D6700" s="112" t="s">
        <v>359</v>
      </c>
      <c r="E6700" s="113" t="s">
        <v>360</v>
      </c>
      <c r="F6700" s="113" t="s">
        <v>330</v>
      </c>
      <c r="G6700" s="114" t="s">
        <v>361</v>
      </c>
      <c r="H6700" s="112" t="s">
        <v>362</v>
      </c>
      <c r="I6700" s="115" t="s">
        <v>363</v>
      </c>
    </row>
    <row r="6701" spans="2:10" ht="15.95" customHeight="1" x14ac:dyDescent="0.25">
      <c r="C6701" s="116" t="s">
        <v>364</v>
      </c>
      <c r="D6701" s="117" t="s">
        <v>365</v>
      </c>
      <c r="E6701" s="118"/>
      <c r="F6701" s="118"/>
      <c r="G6701" s="165"/>
      <c r="H6701" s="144"/>
      <c r="I6701" s="126"/>
    </row>
    <row r="6702" spans="2:10" ht="15.95" customHeight="1" x14ac:dyDescent="0.25">
      <c r="C6702" s="122"/>
      <c r="D6702" s="117" t="s">
        <v>366</v>
      </c>
      <c r="E6702" s="123" t="s">
        <v>367</v>
      </c>
      <c r="F6702" s="123" t="s">
        <v>368</v>
      </c>
      <c r="G6702" s="242">
        <v>2.5000000000000001E-2</v>
      </c>
      <c r="H6702" s="125">
        <f>VLOOKUP(D6702,Upah,8,FALSE)</f>
        <v>125000</v>
      </c>
      <c r="I6702" s="126">
        <f>G6702*H6702</f>
        <v>3125</v>
      </c>
    </row>
    <row r="6703" spans="2:10" ht="15.95" customHeight="1" x14ac:dyDescent="0.25">
      <c r="C6703" s="122"/>
      <c r="D6703" s="117" t="s">
        <v>611</v>
      </c>
      <c r="E6703" s="123" t="s">
        <v>370</v>
      </c>
      <c r="F6703" s="123" t="s">
        <v>368</v>
      </c>
      <c r="G6703" s="242">
        <v>0.25</v>
      </c>
      <c r="H6703" s="125">
        <f>VLOOKUP(D6703,Upah,8,FALSE)</f>
        <v>150000</v>
      </c>
      <c r="I6703" s="126">
        <f>G6703*H6703</f>
        <v>37500</v>
      </c>
    </row>
    <row r="6704" spans="2:10" ht="15.95" customHeight="1" x14ac:dyDescent="0.25">
      <c r="C6704" s="122"/>
      <c r="D6704" s="117" t="s">
        <v>429</v>
      </c>
      <c r="E6704" s="123" t="s">
        <v>372</v>
      </c>
      <c r="F6704" s="123" t="s">
        <v>368</v>
      </c>
      <c r="G6704" s="242">
        <v>2.5000000000000001E-2</v>
      </c>
      <c r="H6704" s="125">
        <f>VLOOKUP(D6704,Upah,8,FALSE)</f>
        <v>165000</v>
      </c>
      <c r="I6704" s="126">
        <f>G6704*H6704</f>
        <v>4125</v>
      </c>
    </row>
    <row r="6705" spans="2:10" ht="15.95" customHeight="1" thickBot="1" x14ac:dyDescent="0.3">
      <c r="C6705" s="122"/>
      <c r="D6705" s="117" t="s">
        <v>373</v>
      </c>
      <c r="E6705" s="123" t="s">
        <v>374</v>
      </c>
      <c r="F6705" s="123" t="s">
        <v>368</v>
      </c>
      <c r="G6705" s="242">
        <v>1.2999999999999999E-3</v>
      </c>
      <c r="H6705" s="125">
        <f>VLOOKUP(D6705,Upah,8,FALSE)</f>
        <v>170000</v>
      </c>
      <c r="I6705" s="126">
        <f>G6705*H6705</f>
        <v>221</v>
      </c>
    </row>
    <row r="6706" spans="2:10" ht="15.95" customHeight="1" thickBot="1" x14ac:dyDescent="0.3">
      <c r="C6706" s="132"/>
      <c r="D6706" s="133"/>
      <c r="E6706" s="134"/>
      <c r="F6706" s="134"/>
      <c r="G6706" s="135" t="s">
        <v>375</v>
      </c>
      <c r="H6706" s="136"/>
      <c r="I6706" s="137">
        <f>SUM(I6702:I6705)</f>
        <v>44971</v>
      </c>
    </row>
    <row r="6707" spans="2:10" ht="15.95" customHeight="1" x14ac:dyDescent="0.25">
      <c r="C6707" s="116" t="s">
        <v>376</v>
      </c>
      <c r="D6707" s="117" t="s">
        <v>377</v>
      </c>
      <c r="E6707" s="118"/>
      <c r="F6707" s="118"/>
      <c r="G6707" s="165"/>
      <c r="H6707" s="144"/>
      <c r="I6707" s="126"/>
    </row>
    <row r="6708" spans="2:10" ht="15.95" customHeight="1" thickBot="1" x14ac:dyDescent="0.3">
      <c r="C6708" s="122"/>
      <c r="D6708" s="117" t="s">
        <v>1425</v>
      </c>
      <c r="E6708" s="118"/>
      <c r="F6708" s="123" t="s">
        <v>1422</v>
      </c>
      <c r="G6708" s="242">
        <v>1</v>
      </c>
      <c r="H6708" s="144">
        <f>VLOOKUP(D6708,Bahan,6,FALSE)</f>
        <v>15120</v>
      </c>
      <c r="I6708" s="126">
        <f>G6708*H6708</f>
        <v>15120</v>
      </c>
    </row>
    <row r="6709" spans="2:10" ht="15.95" customHeight="1" thickBot="1" x14ac:dyDescent="0.3">
      <c r="C6709" s="132"/>
      <c r="D6709" s="133"/>
      <c r="E6709" s="134"/>
      <c r="F6709" s="134"/>
      <c r="G6709" s="135" t="s">
        <v>386</v>
      </c>
      <c r="H6709" s="136"/>
      <c r="I6709" s="137">
        <f>SUM(I6707:I6708)</f>
        <v>15120</v>
      </c>
    </row>
    <row r="6710" spans="2:10" ht="15.95" customHeight="1" thickBot="1" x14ac:dyDescent="0.3">
      <c r="C6710" s="116" t="s">
        <v>387</v>
      </c>
      <c r="D6710" s="117" t="s">
        <v>388</v>
      </c>
      <c r="E6710" s="118"/>
      <c r="F6710" s="118"/>
      <c r="G6710" s="165"/>
      <c r="H6710" s="144">
        <f>IF(AND(D6710&lt;&gt;"",F6710&lt;&gt;""),IF(C6710="",IF(F6710="OH",VLOOKUP(D6710,[1]UPAH!$B$3:$G$32,7,0),VLOOKUP(D6710,[1]BAHAN!$A$2:$D$3,4,0)),0),0)</f>
        <v>0</v>
      </c>
      <c r="I6710" s="126">
        <f>G6710*H6710</f>
        <v>0</v>
      </c>
    </row>
    <row r="6711" spans="2:10" ht="15.95" customHeight="1" thickBot="1" x14ac:dyDescent="0.3">
      <c r="C6711" s="132"/>
      <c r="D6711" s="133"/>
      <c r="E6711" s="134"/>
      <c r="F6711" s="134"/>
      <c r="G6711" s="135" t="s">
        <v>389</v>
      </c>
      <c r="H6711" s="136"/>
      <c r="I6711" s="137">
        <f>I6710</f>
        <v>0</v>
      </c>
    </row>
    <row r="6712" spans="2:10" ht="15.95" customHeight="1" x14ac:dyDescent="0.25">
      <c r="C6712" s="158" t="s">
        <v>390</v>
      </c>
      <c r="D6712" s="159" t="s">
        <v>391</v>
      </c>
      <c r="E6712" s="160"/>
      <c r="F6712" s="160"/>
      <c r="G6712" s="161"/>
      <c r="H6712" s="162">
        <f>IF(AND(D6712&lt;&gt;"",F6712&lt;&gt;""),IF(C6712="",IF(F6712="OH",VLOOKUP(D6712,[1]UPAH!$B$3:$G$32,7,0),VLOOKUP(D6712,[1]BAHAN!$A$2:$D$3,4,0)),0),0)</f>
        <v>0</v>
      </c>
      <c r="I6712" s="126">
        <f>SUM(I6701:I6711)/2</f>
        <v>60091</v>
      </c>
    </row>
    <row r="6713" spans="2:10" ht="15.95" customHeight="1" thickBot="1" x14ac:dyDescent="0.3">
      <c r="C6713" s="147" t="s">
        <v>392</v>
      </c>
      <c r="D6713" s="148" t="s">
        <v>393</v>
      </c>
      <c r="E6713" s="149"/>
      <c r="F6713" s="149"/>
      <c r="G6713" s="164">
        <v>0.1</v>
      </c>
      <c r="H6713" s="151"/>
      <c r="I6713" s="146">
        <f>G6713*I6712</f>
        <v>6009.1</v>
      </c>
    </row>
    <row r="6714" spans="2:10" ht="15.95" customHeight="1" thickBot="1" x14ac:dyDescent="0.3">
      <c r="C6714" s="111" t="s">
        <v>394</v>
      </c>
      <c r="D6714" s="112" t="s">
        <v>395</v>
      </c>
      <c r="E6714" s="134"/>
      <c r="F6714" s="134"/>
      <c r="G6714" s="156"/>
      <c r="H6714" s="136">
        <f>IF(AND(D6714&lt;&gt;"",F6714&lt;&gt;""),IF(C6714="",IF(F6714="OH",VLOOKUP(D6714,[1]UPAH!$B$3:$G$32,7,0),VLOOKUP(D6714,[1]BAHAN!$A$2:$D$3,4,0)),0),0)</f>
        <v>0</v>
      </c>
      <c r="I6714" s="137">
        <f>ROUNDDOWN(I6712+I6713,0)</f>
        <v>66100</v>
      </c>
    </row>
    <row r="6715" spans="2:10" ht="15.95" customHeight="1" x14ac:dyDescent="0.25">
      <c r="C6715" s="109"/>
      <c r="D6715" s="109"/>
      <c r="G6715" s="157"/>
    </row>
    <row r="6716" spans="2:10" ht="15.95" customHeight="1" thickBot="1" x14ac:dyDescent="0.3">
      <c r="B6716" s="109" t="s">
        <v>1426</v>
      </c>
      <c r="C6716" s="104" t="s">
        <v>1427</v>
      </c>
      <c r="G6716" s="157"/>
      <c r="J6716" s="110">
        <f>I6732</f>
        <v>168284</v>
      </c>
    </row>
    <row r="6717" spans="2:10" ht="15.95" customHeight="1" thickBot="1" x14ac:dyDescent="0.3">
      <c r="C6717" s="111" t="s">
        <v>328</v>
      </c>
      <c r="D6717" s="112" t="s">
        <v>359</v>
      </c>
      <c r="E6717" s="113" t="s">
        <v>360</v>
      </c>
      <c r="F6717" s="113" t="s">
        <v>330</v>
      </c>
      <c r="G6717" s="114" t="s">
        <v>361</v>
      </c>
      <c r="H6717" s="112" t="s">
        <v>362</v>
      </c>
      <c r="I6717" s="115" t="s">
        <v>363</v>
      </c>
    </row>
    <row r="6718" spans="2:10" ht="15.95" customHeight="1" x14ac:dyDescent="0.25">
      <c r="C6718" s="116" t="s">
        <v>364</v>
      </c>
      <c r="D6718" s="117" t="s">
        <v>365</v>
      </c>
      <c r="E6718" s="118"/>
      <c r="F6718" s="118"/>
      <c r="G6718" s="165"/>
      <c r="H6718" s="144"/>
      <c r="I6718" s="126"/>
    </row>
    <row r="6719" spans="2:10" ht="15.95" customHeight="1" x14ac:dyDescent="0.25">
      <c r="C6719" s="122"/>
      <c r="D6719" s="117" t="s">
        <v>366</v>
      </c>
      <c r="E6719" s="123" t="s">
        <v>367</v>
      </c>
      <c r="F6719" s="123" t="s">
        <v>368</v>
      </c>
      <c r="G6719" s="242">
        <v>1.4999999999999999E-2</v>
      </c>
      <c r="H6719" s="125">
        <f>VLOOKUP(D6719,Upah,8,FALSE)</f>
        <v>125000</v>
      </c>
      <c r="I6719" s="126">
        <f>G6719*H6719</f>
        <v>1875</v>
      </c>
    </row>
    <row r="6720" spans="2:10" ht="15.95" customHeight="1" x14ac:dyDescent="0.25">
      <c r="C6720" s="122"/>
      <c r="D6720" s="117" t="s">
        <v>611</v>
      </c>
      <c r="E6720" s="123" t="s">
        <v>370</v>
      </c>
      <c r="F6720" s="123" t="s">
        <v>368</v>
      </c>
      <c r="G6720" s="242">
        <v>0.15</v>
      </c>
      <c r="H6720" s="125">
        <f>VLOOKUP(D6720,Upah,8,FALSE)</f>
        <v>150000</v>
      </c>
      <c r="I6720" s="126">
        <f>G6720*H6720</f>
        <v>22500</v>
      </c>
    </row>
    <row r="6721" spans="2:10" ht="15.95" customHeight="1" x14ac:dyDescent="0.25">
      <c r="C6721" s="122"/>
      <c r="D6721" s="117" t="s">
        <v>429</v>
      </c>
      <c r="E6721" s="123" t="s">
        <v>372</v>
      </c>
      <c r="F6721" s="123" t="s">
        <v>368</v>
      </c>
      <c r="G6721" s="242">
        <v>1.4999999999999999E-2</v>
      </c>
      <c r="H6721" s="125">
        <f>VLOOKUP(D6721,Upah,8,FALSE)</f>
        <v>165000</v>
      </c>
      <c r="I6721" s="126">
        <f>G6721*H6721</f>
        <v>2475</v>
      </c>
    </row>
    <row r="6722" spans="2:10" ht="15.95" customHeight="1" thickBot="1" x14ac:dyDescent="0.3">
      <c r="C6722" s="122"/>
      <c r="D6722" s="117" t="s">
        <v>373</v>
      </c>
      <c r="E6722" s="123" t="s">
        <v>374</v>
      </c>
      <c r="F6722" s="123" t="s">
        <v>368</v>
      </c>
      <c r="G6722" s="242">
        <v>8.0000000000000004E-4</v>
      </c>
      <c r="H6722" s="125">
        <f>VLOOKUP(D6722,Upah,8,FALSE)</f>
        <v>170000</v>
      </c>
      <c r="I6722" s="126">
        <f>G6722*H6722</f>
        <v>136</v>
      </c>
    </row>
    <row r="6723" spans="2:10" ht="15.95" customHeight="1" thickBot="1" x14ac:dyDescent="0.3">
      <c r="C6723" s="132"/>
      <c r="D6723" s="133"/>
      <c r="E6723" s="134"/>
      <c r="F6723" s="134"/>
      <c r="G6723" s="135" t="s">
        <v>375</v>
      </c>
      <c r="H6723" s="136"/>
      <c r="I6723" s="137">
        <f>SUM(I6719:I6722)</f>
        <v>26986</v>
      </c>
    </row>
    <row r="6724" spans="2:10" ht="15.95" customHeight="1" x14ac:dyDescent="0.25">
      <c r="C6724" s="116" t="s">
        <v>376</v>
      </c>
      <c r="D6724" s="117" t="s">
        <v>377</v>
      </c>
      <c r="E6724" s="118"/>
      <c r="F6724" s="118"/>
      <c r="G6724" s="165"/>
      <c r="H6724" s="144"/>
      <c r="I6724" s="126"/>
    </row>
    <row r="6725" spans="2:10" ht="15.95" customHeight="1" x14ac:dyDescent="0.25">
      <c r="C6725" s="122"/>
      <c r="D6725" s="117" t="s">
        <v>1428</v>
      </c>
      <c r="E6725" s="118"/>
      <c r="F6725" s="123" t="s">
        <v>82</v>
      </c>
      <c r="G6725" s="242">
        <v>1.1000000000000001</v>
      </c>
      <c r="H6725" s="144">
        <f>VLOOKUP(D6725,Bahan,6,FALSE)</f>
        <v>112500</v>
      </c>
      <c r="I6725" s="126">
        <f>G6725*H6725</f>
        <v>123750.00000000001</v>
      </c>
    </row>
    <row r="6726" spans="2:10" ht="15.95" customHeight="1" thickBot="1" x14ac:dyDescent="0.3">
      <c r="C6726" s="122"/>
      <c r="D6726" s="117" t="s">
        <v>1429</v>
      </c>
      <c r="E6726" s="118"/>
      <c r="F6726" s="123" t="s">
        <v>159</v>
      </c>
      <c r="G6726" s="242">
        <v>0.05</v>
      </c>
      <c r="H6726" s="144">
        <f>VLOOKUP(D6726,Bahan,6,FALSE)</f>
        <v>45000</v>
      </c>
      <c r="I6726" s="126">
        <f>G6726*H6726</f>
        <v>2250</v>
      </c>
    </row>
    <row r="6727" spans="2:10" ht="15.95" customHeight="1" thickBot="1" x14ac:dyDescent="0.3">
      <c r="C6727" s="132"/>
      <c r="D6727" s="133"/>
      <c r="E6727" s="134"/>
      <c r="F6727" s="134"/>
      <c r="G6727" s="135" t="s">
        <v>386</v>
      </c>
      <c r="H6727" s="136"/>
      <c r="I6727" s="137">
        <f>SUM(I6725:I6726)</f>
        <v>126000.00000000001</v>
      </c>
    </row>
    <row r="6728" spans="2:10" ht="15.95" customHeight="1" thickBot="1" x14ac:dyDescent="0.3">
      <c r="C6728" s="116" t="s">
        <v>387</v>
      </c>
      <c r="D6728" s="117" t="s">
        <v>388</v>
      </c>
      <c r="E6728" s="118"/>
      <c r="F6728" s="118"/>
      <c r="G6728" s="165"/>
      <c r="H6728" s="144">
        <f>IF(AND(D6728&lt;&gt;"",F6728&lt;&gt;""),IF(C6728="",IF(F6728="OH",VLOOKUP(D6728,[1]UPAH!$B$3:$G$32,7,0),VLOOKUP(D6728,[1]BAHAN!$A$2:$D$3,4,0)),0),0)</f>
        <v>0</v>
      </c>
      <c r="I6728" s="126">
        <f>G6728*H6728</f>
        <v>0</v>
      </c>
    </row>
    <row r="6729" spans="2:10" ht="15.95" customHeight="1" thickBot="1" x14ac:dyDescent="0.3">
      <c r="C6729" s="132"/>
      <c r="D6729" s="133"/>
      <c r="E6729" s="134"/>
      <c r="F6729" s="134"/>
      <c r="G6729" s="135" t="s">
        <v>389</v>
      </c>
      <c r="H6729" s="136"/>
      <c r="I6729" s="137">
        <f>I6728</f>
        <v>0</v>
      </c>
    </row>
    <row r="6730" spans="2:10" ht="15.95" customHeight="1" x14ac:dyDescent="0.25">
      <c r="C6730" s="158" t="s">
        <v>390</v>
      </c>
      <c r="D6730" s="159" t="s">
        <v>391</v>
      </c>
      <c r="E6730" s="160"/>
      <c r="F6730" s="160"/>
      <c r="G6730" s="161"/>
      <c r="H6730" s="162">
        <f>IF(AND(D6730&lt;&gt;"",F6730&lt;&gt;""),IF(C6730="",IF(F6730="OH",VLOOKUP(D6730,[1]UPAH!$B$3:$G$32,7,0),VLOOKUP(D6730,[1]BAHAN!$A$2:$D$3,4,0)),0),0)</f>
        <v>0</v>
      </c>
      <c r="I6730" s="126">
        <f>SUM(I6719:I6729)/2</f>
        <v>152986</v>
      </c>
    </row>
    <row r="6731" spans="2:10" ht="15.95" customHeight="1" thickBot="1" x14ac:dyDescent="0.3">
      <c r="C6731" s="147" t="s">
        <v>392</v>
      </c>
      <c r="D6731" s="148" t="s">
        <v>393</v>
      </c>
      <c r="E6731" s="149"/>
      <c r="F6731" s="149"/>
      <c r="G6731" s="164">
        <v>0.1</v>
      </c>
      <c r="H6731" s="151"/>
      <c r="I6731" s="146">
        <f>G6731*I6730</f>
        <v>15298.6</v>
      </c>
    </row>
    <row r="6732" spans="2:10" ht="15.95" customHeight="1" thickBot="1" x14ac:dyDescent="0.3">
      <c r="C6732" s="111" t="s">
        <v>394</v>
      </c>
      <c r="D6732" s="112" t="s">
        <v>395</v>
      </c>
      <c r="E6732" s="134"/>
      <c r="F6732" s="134"/>
      <c r="G6732" s="156"/>
      <c r="H6732" s="136">
        <f>IF(AND(D6732&lt;&gt;"",F6732&lt;&gt;""),IF(C6732="",IF(F6732="OH",VLOOKUP(D6732,[1]UPAH!$B$3:$G$32,7,0),VLOOKUP(D6732,[1]BAHAN!$A$2:$D$3,4,0)),0),0)</f>
        <v>0</v>
      </c>
      <c r="I6732" s="137">
        <f>ROUNDDOWN(I6730+I6731,0)</f>
        <v>168284</v>
      </c>
    </row>
    <row r="6733" spans="2:10" ht="15.95" customHeight="1" x14ac:dyDescent="0.25">
      <c r="C6733" s="109"/>
      <c r="D6733" s="109"/>
      <c r="G6733" s="157"/>
    </row>
    <row r="6734" spans="2:10" ht="15.95" customHeight="1" thickBot="1" x14ac:dyDescent="0.3">
      <c r="B6734" s="109" t="s">
        <v>1430</v>
      </c>
      <c r="C6734" s="104" t="s">
        <v>1431</v>
      </c>
      <c r="G6734" s="157"/>
      <c r="J6734" s="110">
        <f>I6750</f>
        <v>203495</v>
      </c>
    </row>
    <row r="6735" spans="2:10" ht="15.95" customHeight="1" thickBot="1" x14ac:dyDescent="0.3">
      <c r="C6735" s="111" t="s">
        <v>328</v>
      </c>
      <c r="D6735" s="112" t="s">
        <v>359</v>
      </c>
      <c r="E6735" s="113" t="s">
        <v>360</v>
      </c>
      <c r="F6735" s="113" t="s">
        <v>330</v>
      </c>
      <c r="G6735" s="114" t="s">
        <v>361</v>
      </c>
      <c r="H6735" s="112" t="s">
        <v>362</v>
      </c>
      <c r="I6735" s="115" t="s">
        <v>363</v>
      </c>
    </row>
    <row r="6736" spans="2:10" ht="15.95" customHeight="1" x14ac:dyDescent="0.25">
      <c r="C6736" s="116" t="s">
        <v>364</v>
      </c>
      <c r="D6736" s="117" t="s">
        <v>365</v>
      </c>
      <c r="E6736" s="118"/>
      <c r="F6736" s="118"/>
      <c r="G6736" s="165"/>
      <c r="H6736" s="144"/>
      <c r="I6736" s="126"/>
    </row>
    <row r="6737" spans="2:10" ht="15.95" customHeight="1" x14ac:dyDescent="0.25">
      <c r="C6737" s="122"/>
      <c r="D6737" s="117" t="s">
        <v>366</v>
      </c>
      <c r="E6737" s="123" t="s">
        <v>367</v>
      </c>
      <c r="F6737" s="123" t="s">
        <v>368</v>
      </c>
      <c r="G6737" s="242">
        <v>1.4999999999999999E-2</v>
      </c>
      <c r="H6737" s="125">
        <f>VLOOKUP(D6737,Upah,8,FALSE)</f>
        <v>125000</v>
      </c>
      <c r="I6737" s="126">
        <f>G6737*H6737</f>
        <v>1875</v>
      </c>
    </row>
    <row r="6738" spans="2:10" ht="15.95" customHeight="1" x14ac:dyDescent="0.25">
      <c r="C6738" s="122"/>
      <c r="D6738" s="117" t="s">
        <v>611</v>
      </c>
      <c r="E6738" s="123" t="s">
        <v>370</v>
      </c>
      <c r="F6738" s="123" t="s">
        <v>368</v>
      </c>
      <c r="G6738" s="242">
        <v>0.15</v>
      </c>
      <c r="H6738" s="125">
        <f>VLOOKUP(D6738,Upah,8,FALSE)</f>
        <v>150000</v>
      </c>
      <c r="I6738" s="126">
        <f>G6738*H6738</f>
        <v>22500</v>
      </c>
    </row>
    <row r="6739" spans="2:10" ht="15.95" customHeight="1" x14ac:dyDescent="0.25">
      <c r="C6739" s="122"/>
      <c r="D6739" s="117" t="s">
        <v>429</v>
      </c>
      <c r="E6739" s="123" t="s">
        <v>372</v>
      </c>
      <c r="F6739" s="123" t="s">
        <v>368</v>
      </c>
      <c r="G6739" s="242">
        <v>1.4999999999999999E-2</v>
      </c>
      <c r="H6739" s="125">
        <f>VLOOKUP(D6739,Upah,8,FALSE)</f>
        <v>165000</v>
      </c>
      <c r="I6739" s="126">
        <f>G6739*H6739</f>
        <v>2475</v>
      </c>
    </row>
    <row r="6740" spans="2:10" ht="15.95" customHeight="1" thickBot="1" x14ac:dyDescent="0.3">
      <c r="C6740" s="122"/>
      <c r="D6740" s="117" t="s">
        <v>373</v>
      </c>
      <c r="E6740" s="123" t="s">
        <v>374</v>
      </c>
      <c r="F6740" s="123" t="s">
        <v>368</v>
      </c>
      <c r="G6740" s="242">
        <v>8.0000000000000004E-4</v>
      </c>
      <c r="H6740" s="125">
        <f>VLOOKUP(D6740,Upah,8,FALSE)</f>
        <v>170000</v>
      </c>
      <c r="I6740" s="126">
        <f>G6740*H6740</f>
        <v>136</v>
      </c>
    </row>
    <row r="6741" spans="2:10" ht="15.95" customHeight="1" thickBot="1" x14ac:dyDescent="0.3">
      <c r="C6741" s="132"/>
      <c r="D6741" s="133"/>
      <c r="E6741" s="134"/>
      <c r="F6741" s="134"/>
      <c r="G6741" s="135" t="s">
        <v>375</v>
      </c>
      <c r="H6741" s="136"/>
      <c r="I6741" s="137">
        <f>SUM(I6737:I6740)</f>
        <v>26986</v>
      </c>
    </row>
    <row r="6742" spans="2:10" ht="15.95" customHeight="1" x14ac:dyDescent="0.25">
      <c r="C6742" s="116" t="s">
        <v>376</v>
      </c>
      <c r="D6742" s="117" t="s">
        <v>377</v>
      </c>
      <c r="E6742" s="118"/>
      <c r="F6742" s="118"/>
      <c r="G6742" s="165"/>
      <c r="H6742" s="144"/>
      <c r="I6742" s="126"/>
    </row>
    <row r="6743" spans="2:10" ht="15.95" customHeight="1" x14ac:dyDescent="0.25">
      <c r="C6743" s="122"/>
      <c r="D6743" s="117" t="s">
        <v>1432</v>
      </c>
      <c r="E6743" s="118"/>
      <c r="F6743" s="123" t="s">
        <v>82</v>
      </c>
      <c r="G6743" s="242">
        <v>1.1000000000000001</v>
      </c>
      <c r="H6743" s="144">
        <f>VLOOKUP(D6743,Bahan,6,FALSE)</f>
        <v>141600</v>
      </c>
      <c r="I6743" s="126">
        <f>G6743*H6743</f>
        <v>155760</v>
      </c>
    </row>
    <row r="6744" spans="2:10" ht="15.95" customHeight="1" thickBot="1" x14ac:dyDescent="0.3">
      <c r="C6744" s="122"/>
      <c r="D6744" s="117" t="s">
        <v>1429</v>
      </c>
      <c r="E6744" s="118"/>
      <c r="F6744" s="123" t="s">
        <v>159</v>
      </c>
      <c r="G6744" s="242">
        <v>0.05</v>
      </c>
      <c r="H6744" s="144">
        <f>VLOOKUP(D6744,Bahan,6,FALSE)</f>
        <v>45000</v>
      </c>
      <c r="I6744" s="126">
        <f>G6744*H6744</f>
        <v>2250</v>
      </c>
    </row>
    <row r="6745" spans="2:10" ht="15.95" customHeight="1" thickBot="1" x14ac:dyDescent="0.3">
      <c r="C6745" s="132"/>
      <c r="D6745" s="133"/>
      <c r="E6745" s="134"/>
      <c r="F6745" s="134"/>
      <c r="G6745" s="135" t="s">
        <v>386</v>
      </c>
      <c r="H6745" s="136"/>
      <c r="I6745" s="137">
        <f>SUM(I6743:I6744)</f>
        <v>158010</v>
      </c>
    </row>
    <row r="6746" spans="2:10" ht="15.95" customHeight="1" thickBot="1" x14ac:dyDescent="0.3">
      <c r="C6746" s="116" t="s">
        <v>387</v>
      </c>
      <c r="D6746" s="117" t="s">
        <v>388</v>
      </c>
      <c r="E6746" s="118"/>
      <c r="F6746" s="118"/>
      <c r="G6746" s="165"/>
      <c r="H6746" s="144">
        <f>IF(AND(D6746&lt;&gt;"",F6746&lt;&gt;""),IF(C6746="",IF(F6746="OH",VLOOKUP(D6746,[1]UPAH!$B$3:$G$32,7,0),VLOOKUP(D6746,[1]BAHAN!$A$2:$D$3,4,0)),0),0)</f>
        <v>0</v>
      </c>
      <c r="I6746" s="126">
        <f>G6746*H6746</f>
        <v>0</v>
      </c>
    </row>
    <row r="6747" spans="2:10" ht="15.95" customHeight="1" thickBot="1" x14ac:dyDescent="0.3">
      <c r="C6747" s="132"/>
      <c r="D6747" s="133"/>
      <c r="E6747" s="134"/>
      <c r="F6747" s="134"/>
      <c r="G6747" s="135" t="s">
        <v>389</v>
      </c>
      <c r="H6747" s="136"/>
      <c r="I6747" s="137">
        <f>I6746</f>
        <v>0</v>
      </c>
    </row>
    <row r="6748" spans="2:10" ht="15.95" customHeight="1" x14ac:dyDescent="0.25">
      <c r="C6748" s="158" t="s">
        <v>390</v>
      </c>
      <c r="D6748" s="159" t="s">
        <v>391</v>
      </c>
      <c r="E6748" s="160"/>
      <c r="F6748" s="160"/>
      <c r="G6748" s="161"/>
      <c r="H6748" s="162">
        <f>IF(AND(D6748&lt;&gt;"",F6748&lt;&gt;""),IF(C6748="",IF(F6748="OH",VLOOKUP(D6748,[1]UPAH!$B$3:$G$32,7,0),VLOOKUP(D6748,[1]BAHAN!$A$2:$D$3,4,0)),0),0)</f>
        <v>0</v>
      </c>
      <c r="I6748" s="126">
        <f>SUM(I6737:I6747)/2</f>
        <v>184996</v>
      </c>
    </row>
    <row r="6749" spans="2:10" ht="15.95" customHeight="1" thickBot="1" x14ac:dyDescent="0.3">
      <c r="C6749" s="147" t="s">
        <v>392</v>
      </c>
      <c r="D6749" s="148" t="s">
        <v>393</v>
      </c>
      <c r="E6749" s="149"/>
      <c r="F6749" s="149"/>
      <c r="G6749" s="164">
        <v>0.1</v>
      </c>
      <c r="H6749" s="151"/>
      <c r="I6749" s="146">
        <f>G6749*I6748</f>
        <v>18499.600000000002</v>
      </c>
    </row>
    <row r="6750" spans="2:10" ht="15.95" customHeight="1" thickBot="1" x14ac:dyDescent="0.3">
      <c r="C6750" s="111" t="s">
        <v>394</v>
      </c>
      <c r="D6750" s="112" t="s">
        <v>395</v>
      </c>
      <c r="E6750" s="134"/>
      <c r="F6750" s="134"/>
      <c r="G6750" s="156"/>
      <c r="H6750" s="136">
        <f>IF(AND(D6750&lt;&gt;"",F6750&lt;&gt;""),IF(C6750="",IF(F6750="OH",VLOOKUP(D6750,[1]UPAH!$B$3:$G$32,7,0),VLOOKUP(D6750,[1]BAHAN!$A$2:$D$3,4,0)),0),0)</f>
        <v>0</v>
      </c>
      <c r="I6750" s="137">
        <f>ROUNDDOWN(I6748+I6749,0)</f>
        <v>203495</v>
      </c>
    </row>
    <row r="6751" spans="2:10" ht="15.95" customHeight="1" x14ac:dyDescent="0.25">
      <c r="C6751" s="109"/>
      <c r="D6751" s="109"/>
      <c r="G6751" s="157"/>
    </row>
    <row r="6752" spans="2:10" ht="15.95" customHeight="1" thickBot="1" x14ac:dyDescent="0.3">
      <c r="B6752" s="109" t="s">
        <v>1433</v>
      </c>
      <c r="C6752" s="104" t="s">
        <v>1434</v>
      </c>
      <c r="G6752" s="157"/>
      <c r="J6752" s="110">
        <f>I6768</f>
        <v>305774</v>
      </c>
    </row>
    <row r="6753" spans="3:9" ht="15.95" customHeight="1" thickBot="1" x14ac:dyDescent="0.3">
      <c r="C6753" s="111" t="s">
        <v>328</v>
      </c>
      <c r="D6753" s="112" t="s">
        <v>359</v>
      </c>
      <c r="E6753" s="113" t="s">
        <v>360</v>
      </c>
      <c r="F6753" s="113" t="s">
        <v>330</v>
      </c>
      <c r="G6753" s="114" t="s">
        <v>361</v>
      </c>
      <c r="H6753" s="112" t="s">
        <v>362</v>
      </c>
      <c r="I6753" s="115" t="s">
        <v>363</v>
      </c>
    </row>
    <row r="6754" spans="3:9" ht="15.95" customHeight="1" x14ac:dyDescent="0.25">
      <c r="C6754" s="116" t="s">
        <v>364</v>
      </c>
      <c r="D6754" s="117" t="s">
        <v>365</v>
      </c>
      <c r="E6754" s="118"/>
      <c r="F6754" s="118"/>
      <c r="G6754" s="165"/>
      <c r="H6754" s="144"/>
      <c r="I6754" s="126"/>
    </row>
    <row r="6755" spans="3:9" ht="15.95" customHeight="1" x14ac:dyDescent="0.25">
      <c r="C6755" s="122"/>
      <c r="D6755" s="117" t="s">
        <v>366</v>
      </c>
      <c r="E6755" s="123" t="s">
        <v>367</v>
      </c>
      <c r="F6755" s="123" t="s">
        <v>368</v>
      </c>
      <c r="G6755" s="242">
        <v>1.7000000000000001E-2</v>
      </c>
      <c r="H6755" s="125">
        <f>VLOOKUP(D6755,Upah,8,FALSE)</f>
        <v>125000</v>
      </c>
      <c r="I6755" s="126">
        <f>G6755*H6755</f>
        <v>2125</v>
      </c>
    </row>
    <row r="6756" spans="3:9" ht="15.95" customHeight="1" x14ac:dyDescent="0.25">
      <c r="C6756" s="122"/>
      <c r="D6756" s="117" t="s">
        <v>611</v>
      </c>
      <c r="E6756" s="123" t="s">
        <v>370</v>
      </c>
      <c r="F6756" s="123" t="s">
        <v>368</v>
      </c>
      <c r="G6756" s="242">
        <v>0.17</v>
      </c>
      <c r="H6756" s="125">
        <f>VLOOKUP(D6756,Upah,8,FALSE)</f>
        <v>150000</v>
      </c>
      <c r="I6756" s="126">
        <f>G6756*H6756</f>
        <v>25500.000000000004</v>
      </c>
    </row>
    <row r="6757" spans="3:9" ht="15.95" customHeight="1" x14ac:dyDescent="0.25">
      <c r="C6757" s="122"/>
      <c r="D6757" s="117" t="s">
        <v>429</v>
      </c>
      <c r="E6757" s="123" t="s">
        <v>372</v>
      </c>
      <c r="F6757" s="123" t="s">
        <v>368</v>
      </c>
      <c r="G6757" s="242">
        <v>1.7000000000000001E-2</v>
      </c>
      <c r="H6757" s="125">
        <f>VLOOKUP(D6757,Upah,8,FALSE)</f>
        <v>165000</v>
      </c>
      <c r="I6757" s="126">
        <f>G6757*H6757</f>
        <v>2805</v>
      </c>
    </row>
    <row r="6758" spans="3:9" ht="15.95" customHeight="1" thickBot="1" x14ac:dyDescent="0.3">
      <c r="C6758" s="122"/>
      <c r="D6758" s="117" t="s">
        <v>373</v>
      </c>
      <c r="E6758" s="123" t="s">
        <v>374</v>
      </c>
      <c r="F6758" s="123" t="s">
        <v>368</v>
      </c>
      <c r="G6758" s="242">
        <v>8.9999999999999998E-4</v>
      </c>
      <c r="H6758" s="125">
        <f>VLOOKUP(D6758,Upah,8,FALSE)</f>
        <v>170000</v>
      </c>
      <c r="I6758" s="126">
        <f>G6758*H6758</f>
        <v>153</v>
      </c>
    </row>
    <row r="6759" spans="3:9" ht="15.95" customHeight="1" thickBot="1" x14ac:dyDescent="0.3">
      <c r="C6759" s="132"/>
      <c r="D6759" s="133"/>
      <c r="E6759" s="134"/>
      <c r="F6759" s="134"/>
      <c r="G6759" s="135" t="s">
        <v>375</v>
      </c>
      <c r="H6759" s="136"/>
      <c r="I6759" s="137">
        <f>SUM(I6755:I6758)</f>
        <v>30583.000000000004</v>
      </c>
    </row>
    <row r="6760" spans="3:9" ht="15.95" customHeight="1" x14ac:dyDescent="0.25">
      <c r="C6760" s="116" t="s">
        <v>376</v>
      </c>
      <c r="D6760" s="117" t="s">
        <v>377</v>
      </c>
      <c r="E6760" s="118"/>
      <c r="F6760" s="118"/>
      <c r="G6760" s="165"/>
      <c r="H6760" s="144"/>
      <c r="I6760" s="126"/>
    </row>
    <row r="6761" spans="3:9" ht="15.95" customHeight="1" x14ac:dyDescent="0.25">
      <c r="C6761" s="122"/>
      <c r="D6761" s="117" t="s">
        <v>1435</v>
      </c>
      <c r="E6761" s="118"/>
      <c r="F6761" s="123" t="s">
        <v>82</v>
      </c>
      <c r="G6761" s="242">
        <v>1.1000000000000001</v>
      </c>
      <c r="H6761" s="144">
        <f>VLOOKUP(D6761,Bahan,6,FALSE)</f>
        <v>222040</v>
      </c>
      <c r="I6761" s="126">
        <f>G6761*H6761</f>
        <v>244244.00000000003</v>
      </c>
    </row>
    <row r="6762" spans="3:9" ht="15.95" customHeight="1" thickBot="1" x14ac:dyDescent="0.3">
      <c r="C6762" s="122"/>
      <c r="D6762" s="117" t="s">
        <v>1429</v>
      </c>
      <c r="E6762" s="118"/>
      <c r="F6762" s="123" t="s">
        <v>159</v>
      </c>
      <c r="G6762" s="242">
        <v>7.0000000000000007E-2</v>
      </c>
      <c r="H6762" s="144">
        <f>VLOOKUP(D6762,Bahan,6,FALSE)</f>
        <v>45000</v>
      </c>
      <c r="I6762" s="126">
        <f>G6762*H6762</f>
        <v>3150.0000000000005</v>
      </c>
    </row>
    <row r="6763" spans="3:9" ht="15.95" customHeight="1" thickBot="1" x14ac:dyDescent="0.3">
      <c r="C6763" s="132"/>
      <c r="D6763" s="133"/>
      <c r="E6763" s="134"/>
      <c r="F6763" s="134"/>
      <c r="G6763" s="135" t="s">
        <v>386</v>
      </c>
      <c r="H6763" s="136"/>
      <c r="I6763" s="137">
        <f>SUM(I6761:I6762)</f>
        <v>247394.00000000003</v>
      </c>
    </row>
    <row r="6764" spans="3:9" ht="15.95" customHeight="1" thickBot="1" x14ac:dyDescent="0.3">
      <c r="C6764" s="116" t="s">
        <v>387</v>
      </c>
      <c r="D6764" s="117" t="s">
        <v>388</v>
      </c>
      <c r="E6764" s="118"/>
      <c r="F6764" s="118"/>
      <c r="G6764" s="165"/>
      <c r="H6764" s="144">
        <f>IF(AND(D6764&lt;&gt;"",F6764&lt;&gt;""),IF(C6764="",IF(F6764="OH",VLOOKUP(D6764,[1]UPAH!$B$3:$G$32,7,0),VLOOKUP(D6764,[1]BAHAN!$A$2:$D$3,4,0)),0),0)</f>
        <v>0</v>
      </c>
      <c r="I6764" s="126">
        <f>G6764*H6764</f>
        <v>0</v>
      </c>
    </row>
    <row r="6765" spans="3:9" ht="15.95" customHeight="1" thickBot="1" x14ac:dyDescent="0.3">
      <c r="C6765" s="132"/>
      <c r="D6765" s="133"/>
      <c r="E6765" s="134"/>
      <c r="F6765" s="134"/>
      <c r="G6765" s="135" t="s">
        <v>389</v>
      </c>
      <c r="H6765" s="136"/>
      <c r="I6765" s="137">
        <f>I6764</f>
        <v>0</v>
      </c>
    </row>
    <row r="6766" spans="3:9" ht="15.95" customHeight="1" x14ac:dyDescent="0.25">
      <c r="C6766" s="158" t="s">
        <v>390</v>
      </c>
      <c r="D6766" s="159" t="s">
        <v>391</v>
      </c>
      <c r="E6766" s="160"/>
      <c r="F6766" s="160"/>
      <c r="G6766" s="161"/>
      <c r="H6766" s="162">
        <f>IF(AND(D6766&lt;&gt;"",F6766&lt;&gt;""),IF(C6766="",IF(F6766="OH",VLOOKUP(D6766,[1]UPAH!$B$3:$G$32,7,0),VLOOKUP(D6766,[1]BAHAN!$A$2:$D$3,4,0)),0),0)</f>
        <v>0</v>
      </c>
      <c r="I6766" s="126">
        <f>SUM(I6755:I6765)/2</f>
        <v>277977.00000000006</v>
      </c>
    </row>
    <row r="6767" spans="3:9" ht="15.95" customHeight="1" thickBot="1" x14ac:dyDescent="0.3">
      <c r="C6767" s="147" t="s">
        <v>392</v>
      </c>
      <c r="D6767" s="148" t="s">
        <v>393</v>
      </c>
      <c r="E6767" s="149"/>
      <c r="F6767" s="149"/>
      <c r="G6767" s="164">
        <v>0.1</v>
      </c>
      <c r="H6767" s="151"/>
      <c r="I6767" s="146">
        <f>G6767*I6766</f>
        <v>27797.700000000008</v>
      </c>
    </row>
    <row r="6768" spans="3:9" ht="15.95" customHeight="1" thickBot="1" x14ac:dyDescent="0.3">
      <c r="C6768" s="111" t="s">
        <v>394</v>
      </c>
      <c r="D6768" s="112" t="s">
        <v>395</v>
      </c>
      <c r="E6768" s="134"/>
      <c r="F6768" s="134"/>
      <c r="G6768" s="156"/>
      <c r="H6768" s="136">
        <f>IF(AND(D6768&lt;&gt;"",F6768&lt;&gt;""),IF(C6768="",IF(F6768="OH",VLOOKUP(D6768,[1]UPAH!$B$3:$G$32,7,0),VLOOKUP(D6768,[1]BAHAN!$A$2:$D$3,4,0)),0),0)</f>
        <v>0</v>
      </c>
      <c r="I6768" s="137">
        <f>ROUNDDOWN(I6766+I6767,0)</f>
        <v>305774</v>
      </c>
    </row>
    <row r="6769" spans="2:10" ht="15.95" customHeight="1" x14ac:dyDescent="0.25">
      <c r="C6769" s="109"/>
      <c r="D6769" s="109"/>
      <c r="G6769" s="157"/>
    </row>
    <row r="6770" spans="2:10" ht="15.95" customHeight="1" thickBot="1" x14ac:dyDescent="0.3">
      <c r="B6770" s="109" t="s">
        <v>1436</v>
      </c>
      <c r="C6770" s="104" t="s">
        <v>1437</v>
      </c>
      <c r="G6770" s="157"/>
      <c r="J6770" s="110">
        <f>I6786</f>
        <v>252583</v>
      </c>
    </row>
    <row r="6771" spans="2:10" ht="15.95" customHeight="1" thickBot="1" x14ac:dyDescent="0.3">
      <c r="C6771" s="111" t="s">
        <v>328</v>
      </c>
      <c r="D6771" s="112" t="s">
        <v>359</v>
      </c>
      <c r="E6771" s="113" t="s">
        <v>360</v>
      </c>
      <c r="F6771" s="113" t="s">
        <v>330</v>
      </c>
      <c r="G6771" s="114" t="s">
        <v>361</v>
      </c>
      <c r="H6771" s="112" t="s">
        <v>362</v>
      </c>
      <c r="I6771" s="115" t="s">
        <v>363</v>
      </c>
    </row>
    <row r="6772" spans="2:10" ht="15.95" customHeight="1" x14ac:dyDescent="0.25">
      <c r="C6772" s="116" t="s">
        <v>364</v>
      </c>
      <c r="D6772" s="117" t="s">
        <v>365</v>
      </c>
      <c r="E6772" s="118"/>
      <c r="F6772" s="118"/>
      <c r="G6772" s="165"/>
      <c r="H6772" s="144"/>
      <c r="I6772" s="126"/>
    </row>
    <row r="6773" spans="2:10" ht="15.95" customHeight="1" x14ac:dyDescent="0.25">
      <c r="C6773" s="122"/>
      <c r="D6773" s="117" t="s">
        <v>366</v>
      </c>
      <c r="E6773" s="123" t="s">
        <v>367</v>
      </c>
      <c r="F6773" s="123" t="s">
        <v>368</v>
      </c>
      <c r="G6773" s="242">
        <v>2.5000000000000001E-2</v>
      </c>
      <c r="H6773" s="125">
        <f>VLOOKUP(D6773,Upah,8,FALSE)</f>
        <v>125000</v>
      </c>
      <c r="I6773" s="126">
        <f>G6773*H6773</f>
        <v>3125</v>
      </c>
    </row>
    <row r="6774" spans="2:10" ht="15.95" customHeight="1" x14ac:dyDescent="0.25">
      <c r="C6774" s="122"/>
      <c r="D6774" s="117" t="s">
        <v>611</v>
      </c>
      <c r="E6774" s="123" t="s">
        <v>370</v>
      </c>
      <c r="F6774" s="123" t="s">
        <v>368</v>
      </c>
      <c r="G6774" s="242">
        <v>0.25</v>
      </c>
      <c r="H6774" s="125">
        <f>VLOOKUP(D6774,Upah,8,FALSE)</f>
        <v>150000</v>
      </c>
      <c r="I6774" s="126">
        <f>G6774*H6774</f>
        <v>37500</v>
      </c>
    </row>
    <row r="6775" spans="2:10" ht="15.95" customHeight="1" x14ac:dyDescent="0.25">
      <c r="C6775" s="122"/>
      <c r="D6775" s="117" t="s">
        <v>429</v>
      </c>
      <c r="E6775" s="123" t="s">
        <v>372</v>
      </c>
      <c r="F6775" s="123" t="s">
        <v>368</v>
      </c>
      <c r="G6775" s="242">
        <v>2.5000000000000001E-2</v>
      </c>
      <c r="H6775" s="125">
        <f>VLOOKUP(D6775,Upah,8,FALSE)</f>
        <v>165000</v>
      </c>
      <c r="I6775" s="126">
        <f>G6775*H6775</f>
        <v>4125</v>
      </c>
    </row>
    <row r="6776" spans="2:10" ht="15.95" customHeight="1" thickBot="1" x14ac:dyDescent="0.3">
      <c r="C6776" s="122"/>
      <c r="D6776" s="117" t="s">
        <v>373</v>
      </c>
      <c r="E6776" s="123" t="s">
        <v>374</v>
      </c>
      <c r="F6776" s="123" t="s">
        <v>368</v>
      </c>
      <c r="G6776" s="242">
        <v>1.2999999999999999E-3</v>
      </c>
      <c r="H6776" s="125">
        <f>VLOOKUP(D6776,Upah,8,FALSE)</f>
        <v>170000</v>
      </c>
      <c r="I6776" s="126">
        <f>G6776*H6776</f>
        <v>221</v>
      </c>
    </row>
    <row r="6777" spans="2:10" ht="15.95" customHeight="1" thickBot="1" x14ac:dyDescent="0.3">
      <c r="C6777" s="132"/>
      <c r="D6777" s="133"/>
      <c r="E6777" s="134"/>
      <c r="F6777" s="134"/>
      <c r="G6777" s="135" t="s">
        <v>375</v>
      </c>
      <c r="H6777" s="136"/>
      <c r="I6777" s="137">
        <f>SUM(I6773:I6776)</f>
        <v>44971</v>
      </c>
    </row>
    <row r="6778" spans="2:10" ht="15.95" customHeight="1" x14ac:dyDescent="0.25">
      <c r="C6778" s="116" t="s">
        <v>376</v>
      </c>
      <c r="D6778" s="117" t="s">
        <v>377</v>
      </c>
      <c r="E6778" s="118"/>
      <c r="F6778" s="118"/>
      <c r="G6778" s="165"/>
      <c r="H6778" s="144"/>
      <c r="I6778" s="126"/>
    </row>
    <row r="6779" spans="2:10" ht="15.95" customHeight="1" x14ac:dyDescent="0.25">
      <c r="C6779" s="122"/>
      <c r="D6779" s="117" t="s">
        <v>1438</v>
      </c>
      <c r="E6779" s="118"/>
      <c r="F6779" s="123" t="s">
        <v>82</v>
      </c>
      <c r="G6779" s="242">
        <v>1.1000000000000001</v>
      </c>
      <c r="H6779" s="144">
        <f>VLOOKUP(D6779,Bahan,6,FALSE)</f>
        <v>165000</v>
      </c>
      <c r="I6779" s="126">
        <f>G6779*H6779</f>
        <v>181500.00000000003</v>
      </c>
    </row>
    <row r="6780" spans="2:10" ht="15.95" customHeight="1" thickBot="1" x14ac:dyDescent="0.3">
      <c r="C6780" s="122"/>
      <c r="D6780" s="117" t="s">
        <v>1429</v>
      </c>
      <c r="E6780" s="118"/>
      <c r="F6780" s="123" t="s">
        <v>159</v>
      </c>
      <c r="G6780" s="242">
        <v>7.0000000000000007E-2</v>
      </c>
      <c r="H6780" s="144">
        <f>VLOOKUP(D6780,Bahan,6,FALSE)</f>
        <v>45000</v>
      </c>
      <c r="I6780" s="126">
        <f>G6780*H6780</f>
        <v>3150.0000000000005</v>
      </c>
    </row>
    <row r="6781" spans="2:10" ht="15.95" customHeight="1" thickBot="1" x14ac:dyDescent="0.3">
      <c r="C6781" s="132"/>
      <c r="D6781" s="133"/>
      <c r="E6781" s="134"/>
      <c r="F6781" s="134"/>
      <c r="G6781" s="135" t="s">
        <v>386</v>
      </c>
      <c r="H6781" s="136"/>
      <c r="I6781" s="137">
        <f>SUM(I6779:I6780)</f>
        <v>184650.00000000003</v>
      </c>
    </row>
    <row r="6782" spans="2:10" ht="15.95" customHeight="1" thickBot="1" x14ac:dyDescent="0.3">
      <c r="C6782" s="116" t="s">
        <v>387</v>
      </c>
      <c r="D6782" s="117" t="s">
        <v>388</v>
      </c>
      <c r="E6782" s="118"/>
      <c r="F6782" s="118"/>
      <c r="G6782" s="165"/>
      <c r="H6782" s="144">
        <f>IF(AND(D6782&lt;&gt;"",F6782&lt;&gt;""),IF(C6782="",IF(F6782="OH",VLOOKUP(D6782,[1]UPAH!$B$3:$G$32,7,0),VLOOKUP(D6782,[1]BAHAN!$A$2:$D$3,4,0)),0),0)</f>
        <v>0</v>
      </c>
      <c r="I6782" s="126">
        <f>G6782*H6782</f>
        <v>0</v>
      </c>
    </row>
    <row r="6783" spans="2:10" ht="15.95" customHeight="1" thickBot="1" x14ac:dyDescent="0.3">
      <c r="C6783" s="132"/>
      <c r="D6783" s="133"/>
      <c r="E6783" s="134"/>
      <c r="F6783" s="134"/>
      <c r="G6783" s="135" t="s">
        <v>389</v>
      </c>
      <c r="H6783" s="136"/>
      <c r="I6783" s="137">
        <f>I6782</f>
        <v>0</v>
      </c>
    </row>
    <row r="6784" spans="2:10" ht="15.95" customHeight="1" x14ac:dyDescent="0.25">
      <c r="C6784" s="158" t="s">
        <v>390</v>
      </c>
      <c r="D6784" s="159" t="s">
        <v>391</v>
      </c>
      <c r="E6784" s="160"/>
      <c r="F6784" s="160"/>
      <c r="G6784" s="161"/>
      <c r="H6784" s="162">
        <f>IF(AND(D6784&lt;&gt;"",F6784&lt;&gt;""),IF(C6784="",IF(F6784="OH",VLOOKUP(D6784,[1]UPAH!$B$3:$G$32,7,0),VLOOKUP(D6784,[1]BAHAN!$A$2:$D$3,4,0)),0),0)</f>
        <v>0</v>
      </c>
      <c r="I6784" s="126">
        <f>SUM(I6773:I6783)/2</f>
        <v>229621</v>
      </c>
    </row>
    <row r="6785" spans="2:10" ht="15.95" customHeight="1" thickBot="1" x14ac:dyDescent="0.3">
      <c r="C6785" s="147" t="s">
        <v>392</v>
      </c>
      <c r="D6785" s="148" t="s">
        <v>393</v>
      </c>
      <c r="E6785" s="149"/>
      <c r="F6785" s="149"/>
      <c r="G6785" s="164">
        <v>0.1</v>
      </c>
      <c r="H6785" s="151"/>
      <c r="I6785" s="146">
        <f>G6785*I6784</f>
        <v>22962.100000000002</v>
      </c>
    </row>
    <row r="6786" spans="2:10" ht="15.95" customHeight="1" thickBot="1" x14ac:dyDescent="0.3">
      <c r="C6786" s="111" t="s">
        <v>394</v>
      </c>
      <c r="D6786" s="112" t="s">
        <v>395</v>
      </c>
      <c r="E6786" s="134"/>
      <c r="F6786" s="134"/>
      <c r="G6786" s="156"/>
      <c r="H6786" s="136">
        <f>IF(AND(D6786&lt;&gt;"",F6786&lt;&gt;""),IF(C6786="",IF(F6786="OH",VLOOKUP(D6786,[1]UPAH!$B$3:$G$32,7,0),VLOOKUP(D6786,[1]BAHAN!$A$2:$D$3,4,0)),0),0)</f>
        <v>0</v>
      </c>
      <c r="I6786" s="137">
        <f>ROUNDDOWN(I6784+I6785,0)</f>
        <v>252583</v>
      </c>
    </row>
    <row r="6787" spans="2:10" ht="15.95" customHeight="1" x14ac:dyDescent="0.25">
      <c r="C6787" s="109"/>
      <c r="D6787" s="109"/>
      <c r="G6787" s="157"/>
    </row>
    <row r="6788" spans="2:10" ht="15.95" customHeight="1" thickBot="1" x14ac:dyDescent="0.3">
      <c r="B6788" s="109" t="s">
        <v>1439</v>
      </c>
      <c r="C6788" s="104" t="s">
        <v>1440</v>
      </c>
      <c r="G6788" s="157"/>
      <c r="J6788" s="110">
        <f>I6803</f>
        <v>238630</v>
      </c>
    </row>
    <row r="6789" spans="2:10" ht="15.95" customHeight="1" thickBot="1" x14ac:dyDescent="0.3">
      <c r="C6789" s="111" t="s">
        <v>328</v>
      </c>
      <c r="D6789" s="112" t="s">
        <v>359</v>
      </c>
      <c r="E6789" s="113" t="s">
        <v>360</v>
      </c>
      <c r="F6789" s="113" t="s">
        <v>330</v>
      </c>
      <c r="G6789" s="114" t="s">
        <v>361</v>
      </c>
      <c r="H6789" s="112" t="s">
        <v>362</v>
      </c>
      <c r="I6789" s="115" t="s">
        <v>363</v>
      </c>
    </row>
    <row r="6790" spans="2:10" ht="15.95" customHeight="1" x14ac:dyDescent="0.25">
      <c r="C6790" s="116" t="s">
        <v>364</v>
      </c>
      <c r="D6790" s="117" t="s">
        <v>365</v>
      </c>
      <c r="E6790" s="118"/>
      <c r="F6790" s="118"/>
      <c r="G6790" s="165"/>
      <c r="H6790" s="144"/>
      <c r="I6790" s="126"/>
    </row>
    <row r="6791" spans="2:10" ht="15.95" customHeight="1" x14ac:dyDescent="0.25">
      <c r="C6791" s="122"/>
      <c r="D6791" s="117" t="s">
        <v>366</v>
      </c>
      <c r="E6791" s="123" t="s">
        <v>367</v>
      </c>
      <c r="F6791" s="123" t="s">
        <v>368</v>
      </c>
      <c r="G6791" s="242">
        <v>1.4999999999999999E-2</v>
      </c>
      <c r="H6791" s="125">
        <f>VLOOKUP(D6791,Upah,8,FALSE)</f>
        <v>125000</v>
      </c>
      <c r="I6791" s="126">
        <f>G6791*H6791</f>
        <v>1875</v>
      </c>
    </row>
    <row r="6792" spans="2:10" ht="15.95" customHeight="1" x14ac:dyDescent="0.25">
      <c r="C6792" s="122"/>
      <c r="D6792" s="117" t="s">
        <v>611</v>
      </c>
      <c r="E6792" s="123" t="s">
        <v>370</v>
      </c>
      <c r="F6792" s="123" t="s">
        <v>368</v>
      </c>
      <c r="G6792" s="242">
        <v>0.15</v>
      </c>
      <c r="H6792" s="125">
        <f>VLOOKUP(D6792,Upah,8,FALSE)</f>
        <v>150000</v>
      </c>
      <c r="I6792" s="126">
        <f>G6792*H6792</f>
        <v>22500</v>
      </c>
    </row>
    <row r="6793" spans="2:10" ht="15.95" customHeight="1" x14ac:dyDescent="0.25">
      <c r="C6793" s="122"/>
      <c r="D6793" s="117" t="s">
        <v>429</v>
      </c>
      <c r="E6793" s="123" t="s">
        <v>372</v>
      </c>
      <c r="F6793" s="123" t="s">
        <v>368</v>
      </c>
      <c r="G6793" s="242">
        <v>1.4999999999999999E-2</v>
      </c>
      <c r="H6793" s="125">
        <f>VLOOKUP(D6793,Upah,8,FALSE)</f>
        <v>165000</v>
      </c>
      <c r="I6793" s="126">
        <f>G6793*H6793</f>
        <v>2475</v>
      </c>
    </row>
    <row r="6794" spans="2:10" ht="15.95" customHeight="1" thickBot="1" x14ac:dyDescent="0.3">
      <c r="C6794" s="122"/>
      <c r="D6794" s="117" t="s">
        <v>373</v>
      </c>
      <c r="E6794" s="123" t="s">
        <v>374</v>
      </c>
      <c r="F6794" s="123" t="s">
        <v>368</v>
      </c>
      <c r="G6794" s="242">
        <v>8.0000000000000002E-3</v>
      </c>
      <c r="H6794" s="125">
        <f>VLOOKUP(D6794,Upah,8,FALSE)</f>
        <v>170000</v>
      </c>
      <c r="I6794" s="126">
        <f>G6794*H6794</f>
        <v>1360</v>
      </c>
    </row>
    <row r="6795" spans="2:10" ht="15.95" customHeight="1" thickBot="1" x14ac:dyDescent="0.3">
      <c r="C6795" s="132"/>
      <c r="D6795" s="133"/>
      <c r="E6795" s="134"/>
      <c r="F6795" s="134"/>
      <c r="G6795" s="135" t="s">
        <v>375</v>
      </c>
      <c r="H6795" s="136"/>
      <c r="I6795" s="137">
        <f>SUM(I6791:I6794)</f>
        <v>28210</v>
      </c>
    </row>
    <row r="6796" spans="2:10" ht="15.95" customHeight="1" x14ac:dyDescent="0.25">
      <c r="C6796" s="116" t="s">
        <v>376</v>
      </c>
      <c r="D6796" s="117" t="s">
        <v>377</v>
      </c>
      <c r="E6796" s="118"/>
      <c r="F6796" s="118"/>
      <c r="G6796" s="165"/>
      <c r="H6796" s="144"/>
      <c r="I6796" s="126"/>
    </row>
    <row r="6797" spans="2:10" ht="15.95" customHeight="1" thickBot="1" x14ac:dyDescent="0.3">
      <c r="C6797" s="122"/>
      <c r="D6797" s="117" t="s">
        <v>1441</v>
      </c>
      <c r="E6797" s="118"/>
      <c r="F6797" s="123" t="s">
        <v>82</v>
      </c>
      <c r="G6797" s="242">
        <v>1.1000000000000001</v>
      </c>
      <c r="H6797" s="144">
        <f>VLOOKUP(D6797,Bahan,6,FALSE)</f>
        <v>171570</v>
      </c>
      <c r="I6797" s="126">
        <f>G6797*H6797</f>
        <v>188727.00000000003</v>
      </c>
    </row>
    <row r="6798" spans="2:10" ht="15.95" customHeight="1" thickBot="1" x14ac:dyDescent="0.3">
      <c r="C6798" s="132"/>
      <c r="D6798" s="133"/>
      <c r="E6798" s="134"/>
      <c r="F6798" s="134"/>
      <c r="G6798" s="135" t="s">
        <v>386</v>
      </c>
      <c r="H6798" s="136"/>
      <c r="I6798" s="137">
        <f>SUM(I6796:I6797)</f>
        <v>188727.00000000003</v>
      </c>
    </row>
    <row r="6799" spans="2:10" ht="15.95" customHeight="1" thickBot="1" x14ac:dyDescent="0.3">
      <c r="C6799" s="116" t="s">
        <v>387</v>
      </c>
      <c r="D6799" s="117" t="s">
        <v>388</v>
      </c>
      <c r="E6799" s="118"/>
      <c r="F6799" s="118"/>
      <c r="G6799" s="165"/>
      <c r="H6799" s="144">
        <f>IF(AND(D6799&lt;&gt;"",F6799&lt;&gt;""),IF(C6799="",IF(F6799="OH",VLOOKUP(D6799,[1]UPAH!$B$3:$G$32,7,0),VLOOKUP(D6799,[1]BAHAN!$A$2:$D$3,4,0)),0),0)</f>
        <v>0</v>
      </c>
      <c r="I6799" s="126">
        <f>G6799*H6799</f>
        <v>0</v>
      </c>
    </row>
    <row r="6800" spans="2:10" ht="15.95" customHeight="1" thickBot="1" x14ac:dyDescent="0.3">
      <c r="C6800" s="132"/>
      <c r="D6800" s="133"/>
      <c r="E6800" s="134"/>
      <c r="F6800" s="134"/>
      <c r="G6800" s="135" t="s">
        <v>389</v>
      </c>
      <c r="H6800" s="136"/>
      <c r="I6800" s="137">
        <f>I6799</f>
        <v>0</v>
      </c>
    </row>
    <row r="6801" spans="2:10" ht="15.95" customHeight="1" x14ac:dyDescent="0.25">
      <c r="C6801" s="158" t="s">
        <v>390</v>
      </c>
      <c r="D6801" s="159" t="s">
        <v>391</v>
      </c>
      <c r="E6801" s="160"/>
      <c r="F6801" s="160"/>
      <c r="G6801" s="161"/>
      <c r="H6801" s="162">
        <f>IF(AND(D6801&lt;&gt;"",F6801&lt;&gt;""),IF(C6801="",IF(F6801="OH",VLOOKUP(D6801,[1]UPAH!$B$3:$G$32,7,0),VLOOKUP(D6801,[1]BAHAN!$A$2:$D$3,4,0)),0),0)</f>
        <v>0</v>
      </c>
      <c r="I6801" s="126">
        <f>SUM(I6790:I6800)/2</f>
        <v>216937.00000000003</v>
      </c>
    </row>
    <row r="6802" spans="2:10" ht="15.95" customHeight="1" thickBot="1" x14ac:dyDescent="0.3">
      <c r="C6802" s="147" t="s">
        <v>392</v>
      </c>
      <c r="D6802" s="148" t="s">
        <v>393</v>
      </c>
      <c r="E6802" s="149"/>
      <c r="F6802" s="149"/>
      <c r="G6802" s="164">
        <v>0.1</v>
      </c>
      <c r="H6802" s="151"/>
      <c r="I6802" s="146">
        <f>G6802*I6801</f>
        <v>21693.700000000004</v>
      </c>
    </row>
    <row r="6803" spans="2:10" ht="15.95" customHeight="1" thickBot="1" x14ac:dyDescent="0.3">
      <c r="C6803" s="111" t="s">
        <v>394</v>
      </c>
      <c r="D6803" s="112" t="s">
        <v>395</v>
      </c>
      <c r="E6803" s="134"/>
      <c r="F6803" s="134"/>
      <c r="G6803" s="156"/>
      <c r="H6803" s="136">
        <f>IF(AND(D6803&lt;&gt;"",F6803&lt;&gt;""),IF(C6803="",IF(F6803="OH",VLOOKUP(D6803,[1]UPAH!$B$3:$G$32,7,0),VLOOKUP(D6803,[1]BAHAN!$A$2:$D$3,4,0)),0),0)</f>
        <v>0</v>
      </c>
      <c r="I6803" s="137">
        <f>ROUNDDOWN(I6801+I6802,0)</f>
        <v>238630</v>
      </c>
    </row>
    <row r="6804" spans="2:10" ht="15.95" customHeight="1" x14ac:dyDescent="0.25">
      <c r="C6804" s="109"/>
      <c r="D6804" s="109"/>
      <c r="G6804" s="157"/>
    </row>
    <row r="6805" spans="2:10" ht="15.95" customHeight="1" thickBot="1" x14ac:dyDescent="0.3">
      <c r="B6805" s="109" t="s">
        <v>1442</v>
      </c>
      <c r="C6805" s="104" t="s">
        <v>1443</v>
      </c>
      <c r="G6805" s="157"/>
      <c r="J6805" s="110">
        <f>I6820</f>
        <v>393437</v>
      </c>
    </row>
    <row r="6806" spans="2:10" ht="15.95" customHeight="1" thickBot="1" x14ac:dyDescent="0.3">
      <c r="C6806" s="111" t="s">
        <v>328</v>
      </c>
      <c r="D6806" s="112" t="s">
        <v>359</v>
      </c>
      <c r="E6806" s="113" t="s">
        <v>360</v>
      </c>
      <c r="F6806" s="113" t="s">
        <v>330</v>
      </c>
      <c r="G6806" s="114" t="s">
        <v>361</v>
      </c>
      <c r="H6806" s="112" t="s">
        <v>362</v>
      </c>
      <c r="I6806" s="115" t="s">
        <v>363</v>
      </c>
    </row>
    <row r="6807" spans="2:10" ht="15.95" customHeight="1" x14ac:dyDescent="0.25">
      <c r="C6807" s="116" t="s">
        <v>364</v>
      </c>
      <c r="D6807" s="117" t="s">
        <v>365</v>
      </c>
      <c r="E6807" s="118"/>
      <c r="F6807" s="118"/>
      <c r="G6807" s="165"/>
      <c r="H6807" s="144"/>
      <c r="I6807" s="126"/>
    </row>
    <row r="6808" spans="2:10" ht="15.95" customHeight="1" x14ac:dyDescent="0.25">
      <c r="C6808" s="122"/>
      <c r="D6808" s="117" t="s">
        <v>366</v>
      </c>
      <c r="E6808" s="123" t="s">
        <v>367</v>
      </c>
      <c r="F6808" s="123" t="s">
        <v>368</v>
      </c>
      <c r="G6808" s="242">
        <v>1.7000000000000001E-2</v>
      </c>
      <c r="H6808" s="125">
        <f>VLOOKUP(D6808,Upah,8,FALSE)</f>
        <v>125000</v>
      </c>
      <c r="I6808" s="126">
        <f>G6808*H6808</f>
        <v>2125</v>
      </c>
    </row>
    <row r="6809" spans="2:10" ht="15.95" customHeight="1" x14ac:dyDescent="0.25">
      <c r="C6809" s="122"/>
      <c r="D6809" s="117" t="s">
        <v>611</v>
      </c>
      <c r="E6809" s="123" t="s">
        <v>370</v>
      </c>
      <c r="F6809" s="123" t="s">
        <v>368</v>
      </c>
      <c r="G6809" s="242">
        <v>0.17</v>
      </c>
      <c r="H6809" s="125">
        <f>VLOOKUP(D6809,Upah,8,FALSE)</f>
        <v>150000</v>
      </c>
      <c r="I6809" s="126">
        <f>G6809*H6809</f>
        <v>25500.000000000004</v>
      </c>
    </row>
    <row r="6810" spans="2:10" ht="15.95" customHeight="1" x14ac:dyDescent="0.25">
      <c r="C6810" s="122"/>
      <c r="D6810" s="117" t="s">
        <v>429</v>
      </c>
      <c r="E6810" s="123" t="s">
        <v>372</v>
      </c>
      <c r="F6810" s="123" t="s">
        <v>368</v>
      </c>
      <c r="G6810" s="242">
        <v>1.7000000000000001E-2</v>
      </c>
      <c r="H6810" s="125">
        <f>VLOOKUP(D6810,Upah,8,FALSE)</f>
        <v>165000</v>
      </c>
      <c r="I6810" s="126">
        <f>G6810*H6810</f>
        <v>2805</v>
      </c>
    </row>
    <row r="6811" spans="2:10" ht="15.95" customHeight="1" thickBot="1" x14ac:dyDescent="0.3">
      <c r="C6811" s="122"/>
      <c r="D6811" s="117" t="s">
        <v>373</v>
      </c>
      <c r="E6811" s="123" t="s">
        <v>374</v>
      </c>
      <c r="F6811" s="123" t="s">
        <v>368</v>
      </c>
      <c r="G6811" s="242">
        <v>8.9999999999999993E-3</v>
      </c>
      <c r="H6811" s="125">
        <f>VLOOKUP(D6811,Upah,8,FALSE)</f>
        <v>170000</v>
      </c>
      <c r="I6811" s="126">
        <f>G6811*H6811</f>
        <v>1529.9999999999998</v>
      </c>
    </row>
    <row r="6812" spans="2:10" ht="15.95" customHeight="1" thickBot="1" x14ac:dyDescent="0.3">
      <c r="C6812" s="132"/>
      <c r="D6812" s="133"/>
      <c r="E6812" s="134"/>
      <c r="F6812" s="134"/>
      <c r="G6812" s="135" t="s">
        <v>375</v>
      </c>
      <c r="H6812" s="136"/>
      <c r="I6812" s="137">
        <f>SUM(I6808:I6811)</f>
        <v>31960.000000000004</v>
      </c>
    </row>
    <row r="6813" spans="2:10" ht="15.95" customHeight="1" x14ac:dyDescent="0.25">
      <c r="C6813" s="116" t="s">
        <v>376</v>
      </c>
      <c r="D6813" s="117" t="s">
        <v>377</v>
      </c>
      <c r="E6813" s="118"/>
      <c r="F6813" s="118"/>
      <c r="G6813" s="165"/>
      <c r="H6813" s="144"/>
      <c r="I6813" s="126"/>
    </row>
    <row r="6814" spans="2:10" ht="15.95" customHeight="1" thickBot="1" x14ac:dyDescent="0.3">
      <c r="C6814" s="122"/>
      <c r="D6814" s="117" t="s">
        <v>1444</v>
      </c>
      <c r="E6814" s="118"/>
      <c r="F6814" s="123" t="s">
        <v>82</v>
      </c>
      <c r="G6814" s="242">
        <v>1.1000000000000001</v>
      </c>
      <c r="H6814" s="144">
        <f>VLOOKUP(D6814,Bahan,6,FALSE)</f>
        <v>296100</v>
      </c>
      <c r="I6814" s="126">
        <f>G6814*H6814</f>
        <v>325710</v>
      </c>
    </row>
    <row r="6815" spans="2:10" ht="15.95" customHeight="1" thickBot="1" x14ac:dyDescent="0.3">
      <c r="C6815" s="132"/>
      <c r="D6815" s="133"/>
      <c r="E6815" s="134"/>
      <c r="F6815" s="134"/>
      <c r="G6815" s="135" t="s">
        <v>386</v>
      </c>
      <c r="H6815" s="136"/>
      <c r="I6815" s="137">
        <f>SUM(I6813:I6814)</f>
        <v>325710</v>
      </c>
    </row>
    <row r="6816" spans="2:10" ht="15.95" customHeight="1" thickBot="1" x14ac:dyDescent="0.3">
      <c r="C6816" s="116" t="s">
        <v>387</v>
      </c>
      <c r="D6816" s="117" t="s">
        <v>388</v>
      </c>
      <c r="E6816" s="118"/>
      <c r="F6816" s="118"/>
      <c r="G6816" s="165"/>
      <c r="H6816" s="144">
        <f>IF(AND(D6816&lt;&gt;"",F6816&lt;&gt;""),IF(C6816="",IF(F6816="OH",VLOOKUP(D6816,[1]UPAH!$B$3:$G$32,7,0),VLOOKUP(D6816,[1]BAHAN!$A$2:$D$3,4,0)),0),0)</f>
        <v>0</v>
      </c>
      <c r="I6816" s="126">
        <f>G6816*H6816</f>
        <v>0</v>
      </c>
    </row>
    <row r="6817" spans="2:10" ht="15.95" customHeight="1" thickBot="1" x14ac:dyDescent="0.3">
      <c r="C6817" s="132"/>
      <c r="D6817" s="133"/>
      <c r="E6817" s="134"/>
      <c r="F6817" s="134"/>
      <c r="G6817" s="135" t="s">
        <v>389</v>
      </c>
      <c r="H6817" s="136"/>
      <c r="I6817" s="137">
        <f>I6816</f>
        <v>0</v>
      </c>
    </row>
    <row r="6818" spans="2:10" ht="15.95" customHeight="1" x14ac:dyDescent="0.25">
      <c r="C6818" s="158" t="s">
        <v>390</v>
      </c>
      <c r="D6818" s="159" t="s">
        <v>391</v>
      </c>
      <c r="E6818" s="160"/>
      <c r="F6818" s="160"/>
      <c r="G6818" s="161"/>
      <c r="H6818" s="162">
        <f>IF(AND(D6818&lt;&gt;"",F6818&lt;&gt;""),IF(C6818="",IF(F6818="OH",VLOOKUP(D6818,[1]UPAH!$B$3:$G$32,7,0),VLOOKUP(D6818,[1]BAHAN!$A$2:$D$3,4,0)),0),0)</f>
        <v>0</v>
      </c>
      <c r="I6818" s="126">
        <f>SUM(I6807:I6817)/2</f>
        <v>357670</v>
      </c>
    </row>
    <row r="6819" spans="2:10" ht="15.95" customHeight="1" thickBot="1" x14ac:dyDescent="0.3">
      <c r="C6819" s="147" t="s">
        <v>392</v>
      </c>
      <c r="D6819" s="148" t="s">
        <v>393</v>
      </c>
      <c r="E6819" s="149"/>
      <c r="F6819" s="149"/>
      <c r="G6819" s="164">
        <v>0.1</v>
      </c>
      <c r="H6819" s="151"/>
      <c r="I6819" s="146">
        <f>G6819*I6818</f>
        <v>35767</v>
      </c>
    </row>
    <row r="6820" spans="2:10" ht="15.95" customHeight="1" thickBot="1" x14ac:dyDescent="0.3">
      <c r="C6820" s="111" t="s">
        <v>394</v>
      </c>
      <c r="D6820" s="112" t="s">
        <v>395</v>
      </c>
      <c r="E6820" s="134"/>
      <c r="F6820" s="134"/>
      <c r="G6820" s="156"/>
      <c r="H6820" s="136">
        <f>IF(AND(D6820&lt;&gt;"",F6820&lt;&gt;""),IF(C6820="",IF(F6820="OH",VLOOKUP(D6820,[1]UPAH!$B$3:$G$32,7,0),VLOOKUP(D6820,[1]BAHAN!$A$2:$D$3,4,0)),0),0)</f>
        <v>0</v>
      </c>
      <c r="I6820" s="137">
        <f>ROUNDDOWN(I6818+I6819,0)</f>
        <v>393437</v>
      </c>
    </row>
    <row r="6821" spans="2:10" ht="15.95" customHeight="1" x14ac:dyDescent="0.25">
      <c r="C6821" s="109"/>
      <c r="D6821" s="109"/>
      <c r="G6821" s="157"/>
    </row>
    <row r="6822" spans="2:10" ht="15.95" customHeight="1" thickBot="1" x14ac:dyDescent="0.3">
      <c r="B6822" s="109" t="s">
        <v>1445</v>
      </c>
      <c r="C6822" s="104" t="s">
        <v>1446</v>
      </c>
      <c r="G6822" s="157"/>
      <c r="J6822" s="110">
        <f>I6837</f>
        <v>1176538</v>
      </c>
    </row>
    <row r="6823" spans="2:10" ht="15.95" customHeight="1" thickBot="1" x14ac:dyDescent="0.3">
      <c r="C6823" s="111" t="s">
        <v>328</v>
      </c>
      <c r="D6823" s="112" t="s">
        <v>359</v>
      </c>
      <c r="E6823" s="113" t="s">
        <v>360</v>
      </c>
      <c r="F6823" s="113" t="s">
        <v>330</v>
      </c>
      <c r="G6823" s="114" t="s">
        <v>361</v>
      </c>
      <c r="H6823" s="112" t="s">
        <v>362</v>
      </c>
      <c r="I6823" s="115" t="s">
        <v>363</v>
      </c>
    </row>
    <row r="6824" spans="2:10" ht="15.95" customHeight="1" x14ac:dyDescent="0.25">
      <c r="C6824" s="116" t="s">
        <v>364</v>
      </c>
      <c r="D6824" s="117" t="s">
        <v>365</v>
      </c>
      <c r="E6824" s="118"/>
      <c r="F6824" s="118"/>
      <c r="G6824" s="165"/>
      <c r="H6824" s="144"/>
      <c r="I6824" s="126"/>
    </row>
    <row r="6825" spans="2:10" ht="15.95" customHeight="1" x14ac:dyDescent="0.25">
      <c r="C6825" s="122"/>
      <c r="D6825" s="117" t="s">
        <v>366</v>
      </c>
      <c r="E6825" s="123" t="s">
        <v>367</v>
      </c>
      <c r="F6825" s="123" t="s">
        <v>368</v>
      </c>
      <c r="G6825" s="242">
        <v>1.4999999999999999E-2</v>
      </c>
      <c r="H6825" s="125">
        <f>VLOOKUP(D6825,Upah,8,FALSE)</f>
        <v>125000</v>
      </c>
      <c r="I6825" s="126">
        <f>G6825*H6825</f>
        <v>1875</v>
      </c>
    </row>
    <row r="6826" spans="2:10" ht="15.95" customHeight="1" x14ac:dyDescent="0.25">
      <c r="C6826" s="122"/>
      <c r="D6826" s="117" t="s">
        <v>611</v>
      </c>
      <c r="E6826" s="123" t="s">
        <v>370</v>
      </c>
      <c r="F6826" s="123" t="s">
        <v>368</v>
      </c>
      <c r="G6826" s="242">
        <v>0.15</v>
      </c>
      <c r="H6826" s="125">
        <f>VLOOKUP(D6826,Upah,8,FALSE)</f>
        <v>150000</v>
      </c>
      <c r="I6826" s="126">
        <f>G6826*H6826</f>
        <v>22500</v>
      </c>
    </row>
    <row r="6827" spans="2:10" ht="15.95" customHeight="1" x14ac:dyDescent="0.25">
      <c r="C6827" s="122"/>
      <c r="D6827" s="117" t="s">
        <v>429</v>
      </c>
      <c r="E6827" s="123" t="s">
        <v>372</v>
      </c>
      <c r="F6827" s="123" t="s">
        <v>368</v>
      </c>
      <c r="G6827" s="242">
        <v>1.4999999999999999E-2</v>
      </c>
      <c r="H6827" s="125">
        <f>VLOOKUP(D6827,Upah,8,FALSE)</f>
        <v>165000</v>
      </c>
      <c r="I6827" s="126">
        <f>G6827*H6827</f>
        <v>2475</v>
      </c>
    </row>
    <row r="6828" spans="2:10" ht="15.95" customHeight="1" thickBot="1" x14ac:dyDescent="0.3">
      <c r="C6828" s="122"/>
      <c r="D6828" s="117" t="s">
        <v>373</v>
      </c>
      <c r="E6828" s="123" t="s">
        <v>374</v>
      </c>
      <c r="F6828" s="123" t="s">
        <v>368</v>
      </c>
      <c r="G6828" s="242">
        <v>8.0000000000000002E-3</v>
      </c>
      <c r="H6828" s="125">
        <f>VLOOKUP(D6828,Upah,8,FALSE)</f>
        <v>170000</v>
      </c>
      <c r="I6828" s="126">
        <f>G6828*H6828</f>
        <v>1360</v>
      </c>
    </row>
    <row r="6829" spans="2:10" ht="15.95" customHeight="1" thickBot="1" x14ac:dyDescent="0.3">
      <c r="C6829" s="132"/>
      <c r="D6829" s="133"/>
      <c r="E6829" s="134"/>
      <c r="F6829" s="134"/>
      <c r="G6829" s="135" t="s">
        <v>375</v>
      </c>
      <c r="H6829" s="136"/>
      <c r="I6829" s="137">
        <f>SUM(I6825:I6828)</f>
        <v>28210</v>
      </c>
    </row>
    <row r="6830" spans="2:10" ht="15.95" customHeight="1" x14ac:dyDescent="0.25">
      <c r="C6830" s="116" t="s">
        <v>376</v>
      </c>
      <c r="D6830" s="117" t="s">
        <v>377</v>
      </c>
      <c r="E6830" s="118"/>
      <c r="F6830" s="118"/>
      <c r="G6830" s="165"/>
      <c r="H6830" s="144"/>
      <c r="I6830" s="126"/>
    </row>
    <row r="6831" spans="2:10" ht="15.95" customHeight="1" thickBot="1" x14ac:dyDescent="0.3">
      <c r="C6831" s="122"/>
      <c r="D6831" s="117" t="s">
        <v>1447</v>
      </c>
      <c r="E6831" s="118"/>
      <c r="F6831" s="123" t="s">
        <v>82</v>
      </c>
      <c r="G6831" s="242">
        <v>1.1000000000000001</v>
      </c>
      <c r="H6831" s="144">
        <f>VLOOKUP(D6831,Bahan,6,FALSE)</f>
        <v>946700</v>
      </c>
      <c r="I6831" s="126">
        <f>G6831*H6831</f>
        <v>1041370.0000000001</v>
      </c>
    </row>
    <row r="6832" spans="2:10" ht="15.95" customHeight="1" thickBot="1" x14ac:dyDescent="0.3">
      <c r="C6832" s="132"/>
      <c r="D6832" s="133"/>
      <c r="E6832" s="134"/>
      <c r="F6832" s="134"/>
      <c r="G6832" s="135" t="s">
        <v>386</v>
      </c>
      <c r="H6832" s="136"/>
      <c r="I6832" s="137">
        <f>SUM(I6831:I6831)</f>
        <v>1041370.0000000001</v>
      </c>
    </row>
    <row r="6833" spans="2:10" ht="15.95" customHeight="1" thickBot="1" x14ac:dyDescent="0.3">
      <c r="C6833" s="116" t="s">
        <v>387</v>
      </c>
      <c r="D6833" s="117" t="s">
        <v>388</v>
      </c>
      <c r="E6833" s="118"/>
      <c r="F6833" s="118"/>
      <c r="G6833" s="165"/>
      <c r="H6833" s="144">
        <f>IF(AND(D6833&lt;&gt;"",F6833&lt;&gt;""),IF(C6833="",IF(F6833="OH",VLOOKUP(D6833,[1]UPAH!$B$3:$G$32,7,0),VLOOKUP(D6833,[1]BAHAN!$A$2:$D$3,4,0)),0),0)</f>
        <v>0</v>
      </c>
      <c r="I6833" s="126">
        <f>G6833*H6833</f>
        <v>0</v>
      </c>
    </row>
    <row r="6834" spans="2:10" ht="15.95" customHeight="1" thickBot="1" x14ac:dyDescent="0.3">
      <c r="C6834" s="132"/>
      <c r="D6834" s="133"/>
      <c r="E6834" s="134"/>
      <c r="F6834" s="134"/>
      <c r="G6834" s="135" t="s">
        <v>389</v>
      </c>
      <c r="H6834" s="136"/>
      <c r="I6834" s="137">
        <f>I6833</f>
        <v>0</v>
      </c>
    </row>
    <row r="6835" spans="2:10" ht="15.95" customHeight="1" x14ac:dyDescent="0.25">
      <c r="C6835" s="158" t="s">
        <v>390</v>
      </c>
      <c r="D6835" s="159" t="s">
        <v>391</v>
      </c>
      <c r="E6835" s="160"/>
      <c r="F6835" s="160"/>
      <c r="G6835" s="161"/>
      <c r="H6835" s="162">
        <f>IF(AND(D6835&lt;&gt;"",F6835&lt;&gt;""),IF(C6835="",IF(F6835="OH",VLOOKUP(D6835,[1]UPAH!$B$3:$G$32,7,0),VLOOKUP(D6835,[1]BAHAN!$A$2:$D$3,4,0)),0),0)</f>
        <v>0</v>
      </c>
      <c r="I6835" s="126">
        <f>SUM(I6825:I6834)/2</f>
        <v>1069580</v>
      </c>
    </row>
    <row r="6836" spans="2:10" ht="15.95" customHeight="1" thickBot="1" x14ac:dyDescent="0.3">
      <c r="C6836" s="147" t="s">
        <v>392</v>
      </c>
      <c r="D6836" s="148" t="s">
        <v>393</v>
      </c>
      <c r="E6836" s="149"/>
      <c r="F6836" s="149"/>
      <c r="G6836" s="164">
        <v>0.1</v>
      </c>
      <c r="H6836" s="151"/>
      <c r="I6836" s="146">
        <f>G6836*I6835</f>
        <v>106958</v>
      </c>
    </row>
    <row r="6837" spans="2:10" ht="15.95" customHeight="1" thickBot="1" x14ac:dyDescent="0.3">
      <c r="C6837" s="111" t="s">
        <v>394</v>
      </c>
      <c r="D6837" s="112" t="s">
        <v>395</v>
      </c>
      <c r="E6837" s="134"/>
      <c r="F6837" s="134"/>
      <c r="G6837" s="156"/>
      <c r="H6837" s="136">
        <f>IF(AND(D6837&lt;&gt;"",F6837&lt;&gt;""),IF(C6837="",IF(F6837="OH",VLOOKUP(D6837,[1]UPAH!$B$3:$G$32,7,0),VLOOKUP(D6837,[1]BAHAN!$A$2:$D$3,4,0)),0),0)</f>
        <v>0</v>
      </c>
      <c r="I6837" s="137">
        <f>ROUNDDOWN(I6835+I6836,0)</f>
        <v>1176538</v>
      </c>
    </row>
    <row r="6838" spans="2:10" ht="15.95" customHeight="1" x14ac:dyDescent="0.25">
      <c r="C6838" s="109"/>
      <c r="D6838" s="109"/>
      <c r="G6838" s="157"/>
    </row>
    <row r="6839" spans="2:10" ht="15.95" customHeight="1" thickBot="1" x14ac:dyDescent="0.3">
      <c r="B6839" s="109" t="s">
        <v>1448</v>
      </c>
      <c r="C6839" s="104" t="s">
        <v>1449</v>
      </c>
      <c r="G6839" s="157"/>
      <c r="J6839" s="110">
        <f>I6855</f>
        <v>165456</v>
      </c>
    </row>
    <row r="6840" spans="2:10" ht="15.95" customHeight="1" thickBot="1" x14ac:dyDescent="0.3">
      <c r="C6840" s="111" t="s">
        <v>328</v>
      </c>
      <c r="D6840" s="112" t="s">
        <v>359</v>
      </c>
      <c r="E6840" s="113" t="s">
        <v>360</v>
      </c>
      <c r="F6840" s="113" t="s">
        <v>330</v>
      </c>
      <c r="G6840" s="114" t="s">
        <v>361</v>
      </c>
      <c r="H6840" s="112" t="s">
        <v>362</v>
      </c>
      <c r="I6840" s="115" t="s">
        <v>363</v>
      </c>
    </row>
    <row r="6841" spans="2:10" ht="15.95" customHeight="1" x14ac:dyDescent="0.25">
      <c r="C6841" s="116" t="s">
        <v>364</v>
      </c>
      <c r="D6841" s="117" t="s">
        <v>365</v>
      </c>
      <c r="E6841" s="118"/>
      <c r="F6841" s="118"/>
      <c r="G6841" s="165"/>
      <c r="H6841" s="144"/>
      <c r="I6841" s="126"/>
    </row>
    <row r="6842" spans="2:10" ht="15.95" customHeight="1" x14ac:dyDescent="0.25">
      <c r="C6842" s="122"/>
      <c r="D6842" s="117" t="s">
        <v>366</v>
      </c>
      <c r="E6842" s="123" t="s">
        <v>367</v>
      </c>
      <c r="F6842" s="123" t="s">
        <v>368</v>
      </c>
      <c r="G6842" s="242">
        <v>7.4999999999999997E-2</v>
      </c>
      <c r="H6842" s="125">
        <f>VLOOKUP(D6842,Upah,8,FALSE)</f>
        <v>125000</v>
      </c>
      <c r="I6842" s="126">
        <f>G6842*H6842</f>
        <v>9375</v>
      </c>
    </row>
    <row r="6843" spans="2:10" ht="15.95" customHeight="1" x14ac:dyDescent="0.25">
      <c r="C6843" s="122"/>
      <c r="D6843" s="117" t="s">
        <v>611</v>
      </c>
      <c r="E6843" s="123" t="s">
        <v>370</v>
      </c>
      <c r="F6843" s="123" t="s">
        <v>368</v>
      </c>
      <c r="G6843" s="242">
        <v>0.15</v>
      </c>
      <c r="H6843" s="125">
        <f>VLOOKUP(D6843,Upah,8,FALSE)</f>
        <v>150000</v>
      </c>
      <c r="I6843" s="126">
        <f>G6843*H6843</f>
        <v>22500</v>
      </c>
    </row>
    <row r="6844" spans="2:10" ht="15.95" customHeight="1" x14ac:dyDescent="0.25">
      <c r="C6844" s="122"/>
      <c r="D6844" s="117" t="s">
        <v>429</v>
      </c>
      <c r="E6844" s="123" t="s">
        <v>372</v>
      </c>
      <c r="F6844" s="123" t="s">
        <v>368</v>
      </c>
      <c r="G6844" s="242">
        <v>1.4999999999999999E-2</v>
      </c>
      <c r="H6844" s="125">
        <f>VLOOKUP(D6844,Upah,8,FALSE)</f>
        <v>165000</v>
      </c>
      <c r="I6844" s="126">
        <f>G6844*H6844</f>
        <v>2475</v>
      </c>
    </row>
    <row r="6845" spans="2:10" ht="15.95" customHeight="1" thickBot="1" x14ac:dyDescent="0.3">
      <c r="C6845" s="122"/>
      <c r="D6845" s="117" t="s">
        <v>373</v>
      </c>
      <c r="E6845" s="123" t="s">
        <v>374</v>
      </c>
      <c r="F6845" s="123" t="s">
        <v>368</v>
      </c>
      <c r="G6845" s="242">
        <v>4.0000000000000001E-3</v>
      </c>
      <c r="H6845" s="125">
        <f>VLOOKUP(D6845,Upah,8,FALSE)</f>
        <v>170000</v>
      </c>
      <c r="I6845" s="126">
        <f>G6845*H6845</f>
        <v>680</v>
      </c>
    </row>
    <row r="6846" spans="2:10" ht="15.95" customHeight="1" thickBot="1" x14ac:dyDescent="0.3">
      <c r="C6846" s="132"/>
      <c r="D6846" s="133"/>
      <c r="E6846" s="134"/>
      <c r="F6846" s="134"/>
      <c r="G6846" s="135" t="s">
        <v>375</v>
      </c>
      <c r="H6846" s="136"/>
      <c r="I6846" s="137">
        <f>SUM(I6842:I6845)</f>
        <v>35030</v>
      </c>
    </row>
    <row r="6847" spans="2:10" ht="15.95" customHeight="1" x14ac:dyDescent="0.25">
      <c r="C6847" s="116" t="s">
        <v>376</v>
      </c>
      <c r="D6847" s="117" t="s">
        <v>377</v>
      </c>
      <c r="E6847" s="118"/>
      <c r="F6847" s="118"/>
      <c r="G6847" s="165"/>
      <c r="H6847" s="144"/>
      <c r="I6847" s="126"/>
    </row>
    <row r="6848" spans="2:10" ht="15.95" customHeight="1" x14ac:dyDescent="0.25">
      <c r="C6848" s="122"/>
      <c r="D6848" s="117" t="s">
        <v>1450</v>
      </c>
      <c r="E6848" s="118"/>
      <c r="F6848" s="123" t="s">
        <v>82</v>
      </c>
      <c r="G6848" s="242">
        <v>1.1000000000000001</v>
      </c>
      <c r="H6848" s="144">
        <f>VLOOKUP(D6848,Bahan,6,FALSE)</f>
        <v>102850</v>
      </c>
      <c r="I6848" s="126">
        <f>G6848*H6848</f>
        <v>113135.00000000001</v>
      </c>
    </row>
    <row r="6849" spans="1:10" ht="15.95" customHeight="1" thickBot="1" x14ac:dyDescent="0.3">
      <c r="C6849" s="122"/>
      <c r="D6849" s="117" t="s">
        <v>767</v>
      </c>
      <c r="E6849" s="118"/>
      <c r="F6849" s="123" t="s">
        <v>159</v>
      </c>
      <c r="G6849" s="242">
        <v>0.05</v>
      </c>
      <c r="H6849" s="144">
        <f>VLOOKUP(D6849,Bahan,6,FALSE)</f>
        <v>45000</v>
      </c>
      <c r="I6849" s="126">
        <f>G6849*H6849</f>
        <v>2250</v>
      </c>
    </row>
    <row r="6850" spans="1:10" ht="15.95" customHeight="1" thickBot="1" x14ac:dyDescent="0.3">
      <c r="C6850" s="132"/>
      <c r="D6850" s="133"/>
      <c r="E6850" s="134"/>
      <c r="F6850" s="134"/>
      <c r="G6850" s="135" t="s">
        <v>386</v>
      </c>
      <c r="H6850" s="136"/>
      <c r="I6850" s="137">
        <f>SUM(I6848:I6849)</f>
        <v>115385.00000000001</v>
      </c>
    </row>
    <row r="6851" spans="1:10" ht="15.95" customHeight="1" thickBot="1" x14ac:dyDescent="0.3">
      <c r="C6851" s="116" t="s">
        <v>387</v>
      </c>
      <c r="D6851" s="117" t="s">
        <v>388</v>
      </c>
      <c r="E6851" s="118"/>
      <c r="F6851" s="118"/>
      <c r="G6851" s="165"/>
      <c r="H6851" s="144">
        <f>IF(AND(D6851&lt;&gt;"",F6851&lt;&gt;""),IF(C6851="",IF(F6851="OH",VLOOKUP(D6851,[1]UPAH!$B$3:$G$32,7,0),VLOOKUP(D6851,[1]BAHAN!$A$2:$D$3,4,0)),0),0)</f>
        <v>0</v>
      </c>
      <c r="I6851" s="126">
        <f>G6851*H6851</f>
        <v>0</v>
      </c>
    </row>
    <row r="6852" spans="1:10" ht="15.95" customHeight="1" thickBot="1" x14ac:dyDescent="0.3">
      <c r="C6852" s="132"/>
      <c r="D6852" s="133"/>
      <c r="E6852" s="134"/>
      <c r="F6852" s="134"/>
      <c r="G6852" s="135" t="s">
        <v>389</v>
      </c>
      <c r="H6852" s="136"/>
      <c r="I6852" s="137">
        <f>I6851</f>
        <v>0</v>
      </c>
    </row>
    <row r="6853" spans="1:10" ht="15.95" customHeight="1" x14ac:dyDescent="0.25">
      <c r="C6853" s="158" t="s">
        <v>390</v>
      </c>
      <c r="D6853" s="159" t="s">
        <v>391</v>
      </c>
      <c r="E6853" s="160"/>
      <c r="F6853" s="160"/>
      <c r="G6853" s="161"/>
      <c r="H6853" s="162">
        <f>IF(AND(D6853&lt;&gt;"",F6853&lt;&gt;""),IF(C6853="",IF(F6853="OH",VLOOKUP(D6853,[1]UPAH!$B$3:$G$32,7,0),VLOOKUP(D6853,[1]BAHAN!$A$2:$D$3,4,0)),0),0)</f>
        <v>0</v>
      </c>
      <c r="I6853" s="126">
        <f>SUM(I6842:I6852)/2</f>
        <v>150415</v>
      </c>
    </row>
    <row r="6854" spans="1:10" ht="15.95" customHeight="1" thickBot="1" x14ac:dyDescent="0.3">
      <c r="C6854" s="147" t="s">
        <v>392</v>
      </c>
      <c r="D6854" s="148" t="s">
        <v>393</v>
      </c>
      <c r="E6854" s="149"/>
      <c r="F6854" s="149"/>
      <c r="G6854" s="164">
        <v>0.1</v>
      </c>
      <c r="H6854" s="151"/>
      <c r="I6854" s="146">
        <f>G6854*I6853</f>
        <v>15041.5</v>
      </c>
    </row>
    <row r="6855" spans="1:10" ht="15.95" customHeight="1" thickBot="1" x14ac:dyDescent="0.3">
      <c r="C6855" s="111" t="s">
        <v>394</v>
      </c>
      <c r="D6855" s="112" t="s">
        <v>395</v>
      </c>
      <c r="E6855" s="134"/>
      <c r="F6855" s="134"/>
      <c r="G6855" s="156"/>
      <c r="H6855" s="136">
        <f>IF(AND(D6855&lt;&gt;"",F6855&lt;&gt;""),IF(C6855="",IF(F6855="OH",VLOOKUP(D6855,[1]UPAH!$B$3:$G$32,7,0),VLOOKUP(D6855,[1]BAHAN!$A$2:$D$3,4,0)),0),0)</f>
        <v>0</v>
      </c>
      <c r="I6855" s="137">
        <f>ROUNDDOWN(I6853+I6854,0)</f>
        <v>165456</v>
      </c>
    </row>
    <row r="6856" spans="1:10" ht="15.95" customHeight="1" x14ac:dyDescent="0.25">
      <c r="C6856" s="109"/>
      <c r="D6856" s="109"/>
      <c r="G6856" s="157"/>
    </row>
    <row r="6857" spans="1:10" ht="15.95" customHeight="1" x14ac:dyDescent="0.25">
      <c r="A6857" s="172" t="s">
        <v>1451</v>
      </c>
      <c r="B6857" s="168" t="s">
        <v>1452</v>
      </c>
      <c r="G6857" s="157"/>
    </row>
    <row r="6858" spans="1:10" ht="15.95" customHeight="1" thickBot="1" x14ac:dyDescent="0.3">
      <c r="B6858" s="109" t="s">
        <v>1453</v>
      </c>
      <c r="C6858" s="104" t="s">
        <v>1454</v>
      </c>
      <c r="G6858" s="157"/>
      <c r="J6858" s="110">
        <f>I6871</f>
        <v>23982</v>
      </c>
    </row>
    <row r="6859" spans="1:10" ht="15.95" customHeight="1" thickBot="1" x14ac:dyDescent="0.3">
      <c r="C6859" s="111" t="s">
        <v>328</v>
      </c>
      <c r="D6859" s="112" t="s">
        <v>359</v>
      </c>
      <c r="E6859" s="113" t="s">
        <v>360</v>
      </c>
      <c r="F6859" s="113" t="s">
        <v>330</v>
      </c>
      <c r="G6859" s="114" t="s">
        <v>361</v>
      </c>
      <c r="H6859" s="112" t="s">
        <v>362</v>
      </c>
      <c r="I6859" s="115" t="s">
        <v>363</v>
      </c>
    </row>
    <row r="6860" spans="1:10" ht="15.95" customHeight="1" x14ac:dyDescent="0.25">
      <c r="C6860" s="116" t="s">
        <v>364</v>
      </c>
      <c r="D6860" s="117" t="s">
        <v>365</v>
      </c>
      <c r="E6860" s="118"/>
      <c r="F6860" s="118"/>
      <c r="G6860" s="165"/>
      <c r="H6860" s="144"/>
      <c r="I6860" s="126"/>
    </row>
    <row r="6861" spans="1:10" ht="15.95" customHeight="1" x14ac:dyDescent="0.25">
      <c r="C6861" s="122"/>
      <c r="D6861" s="117" t="s">
        <v>366</v>
      </c>
      <c r="E6861" s="123" t="s">
        <v>367</v>
      </c>
      <c r="F6861" s="123" t="s">
        <v>368</v>
      </c>
      <c r="G6861" s="242">
        <v>0.15</v>
      </c>
      <c r="H6861" s="125">
        <f>VLOOKUP(D6861,Upah,8,FALSE)</f>
        <v>125000</v>
      </c>
      <c r="I6861" s="126">
        <f>G6861*H6861</f>
        <v>18750</v>
      </c>
    </row>
    <row r="6862" spans="1:10" ht="15.95" customHeight="1" thickBot="1" x14ac:dyDescent="0.3">
      <c r="C6862" s="122"/>
      <c r="D6862" s="117" t="s">
        <v>373</v>
      </c>
      <c r="E6862" s="123" t="s">
        <v>374</v>
      </c>
      <c r="F6862" s="123" t="s">
        <v>368</v>
      </c>
      <c r="G6862" s="242">
        <v>3.0000000000000001E-3</v>
      </c>
      <c r="H6862" s="125">
        <f>VLOOKUP(D6862,Upah,8,FALSE)</f>
        <v>170000</v>
      </c>
      <c r="I6862" s="126">
        <f>G6862*H6862</f>
        <v>510</v>
      </c>
    </row>
    <row r="6863" spans="1:10" ht="15.95" customHeight="1" thickBot="1" x14ac:dyDescent="0.3">
      <c r="C6863" s="132"/>
      <c r="D6863" s="133"/>
      <c r="E6863" s="134"/>
      <c r="F6863" s="134"/>
      <c r="G6863" s="135" t="s">
        <v>375</v>
      </c>
      <c r="H6863" s="136"/>
      <c r="I6863" s="137">
        <f>SUM(I6859:I6862)</f>
        <v>19260</v>
      </c>
    </row>
    <row r="6864" spans="1:10" ht="15.95" customHeight="1" x14ac:dyDescent="0.25">
      <c r="C6864" s="116" t="s">
        <v>376</v>
      </c>
      <c r="D6864" s="117" t="s">
        <v>377</v>
      </c>
      <c r="E6864" s="118"/>
      <c r="F6864" s="118"/>
      <c r="G6864" s="165"/>
      <c r="H6864" s="144"/>
      <c r="I6864" s="126"/>
    </row>
    <row r="6865" spans="2:10" ht="15.95" customHeight="1" thickBot="1" x14ac:dyDescent="0.3">
      <c r="C6865" s="122"/>
      <c r="D6865" s="117" t="s">
        <v>1455</v>
      </c>
      <c r="E6865" s="118"/>
      <c r="F6865" s="123" t="s">
        <v>159</v>
      </c>
      <c r="G6865" s="242">
        <v>0.05</v>
      </c>
      <c r="H6865" s="144">
        <f>VLOOKUP(D6865,Bahan,6,FALSE)</f>
        <v>50850</v>
      </c>
      <c r="I6865" s="126">
        <f>G6865*H6865</f>
        <v>2542.5</v>
      </c>
    </row>
    <row r="6866" spans="2:10" ht="15.95" customHeight="1" thickBot="1" x14ac:dyDescent="0.3">
      <c r="C6866" s="132"/>
      <c r="D6866" s="133"/>
      <c r="E6866" s="134"/>
      <c r="F6866" s="134"/>
      <c r="G6866" s="135" t="s">
        <v>386</v>
      </c>
      <c r="H6866" s="136"/>
      <c r="I6866" s="137">
        <f>SUM(I6864:I6865)</f>
        <v>2542.5</v>
      </c>
    </row>
    <row r="6867" spans="2:10" ht="15.95" customHeight="1" thickBot="1" x14ac:dyDescent="0.3">
      <c r="C6867" s="116" t="s">
        <v>387</v>
      </c>
      <c r="D6867" s="117" t="s">
        <v>388</v>
      </c>
      <c r="E6867" s="118"/>
      <c r="F6867" s="118"/>
      <c r="G6867" s="165"/>
      <c r="H6867" s="144">
        <f>IF(AND(D6867&lt;&gt;"",F6867&lt;&gt;""),IF(C6867="",IF(F6867="OH",VLOOKUP(D6867,[1]UPAH!$B$3:$G$32,7,0),VLOOKUP(D6867,[1]BAHAN!$A$2:$D$3,4,0)),0),0)</f>
        <v>0</v>
      </c>
      <c r="I6867" s="126">
        <f>G6867*H6867</f>
        <v>0</v>
      </c>
    </row>
    <row r="6868" spans="2:10" ht="15.95" customHeight="1" thickBot="1" x14ac:dyDescent="0.3">
      <c r="C6868" s="132"/>
      <c r="D6868" s="133"/>
      <c r="E6868" s="134"/>
      <c r="F6868" s="134"/>
      <c r="G6868" s="135" t="s">
        <v>389</v>
      </c>
      <c r="H6868" s="136"/>
      <c r="I6868" s="137">
        <f>I6867</f>
        <v>0</v>
      </c>
    </row>
    <row r="6869" spans="2:10" ht="15.95" customHeight="1" x14ac:dyDescent="0.25">
      <c r="C6869" s="158" t="s">
        <v>390</v>
      </c>
      <c r="D6869" s="159" t="s">
        <v>391</v>
      </c>
      <c r="E6869" s="160"/>
      <c r="F6869" s="160"/>
      <c r="G6869" s="161"/>
      <c r="H6869" s="162">
        <f>IF(AND(D6869&lt;&gt;"",F6869&lt;&gt;""),IF(C6869="",IF(F6869="OH",VLOOKUP(D6869,[1]UPAH!$B$3:$G$32,7,0),VLOOKUP(D6869,[1]BAHAN!$A$2:$D$3,4,0)),0),0)</f>
        <v>0</v>
      </c>
      <c r="I6869" s="126">
        <f>SUM(I6858:I6868)/2</f>
        <v>21802.5</v>
      </c>
    </row>
    <row r="6870" spans="2:10" ht="15.95" customHeight="1" thickBot="1" x14ac:dyDescent="0.3">
      <c r="C6870" s="147" t="s">
        <v>392</v>
      </c>
      <c r="D6870" s="148" t="s">
        <v>393</v>
      </c>
      <c r="E6870" s="149"/>
      <c r="F6870" s="149"/>
      <c r="G6870" s="164">
        <v>0.1</v>
      </c>
      <c r="H6870" s="151"/>
      <c r="I6870" s="146">
        <f>G6870*I6869</f>
        <v>2180.25</v>
      </c>
    </row>
    <row r="6871" spans="2:10" ht="15.95" customHeight="1" thickBot="1" x14ac:dyDescent="0.3">
      <c r="C6871" s="111" t="s">
        <v>394</v>
      </c>
      <c r="D6871" s="112" t="s">
        <v>395</v>
      </c>
      <c r="E6871" s="134"/>
      <c r="F6871" s="134"/>
      <c r="G6871" s="156"/>
      <c r="H6871" s="136">
        <f>IF(AND(D6871&lt;&gt;"",F6871&lt;&gt;""),IF(C6871="",IF(F6871="OH",VLOOKUP(D6871,[1]UPAH!$B$3:$G$32,7,0),VLOOKUP(D6871,[1]BAHAN!$A$2:$D$3,4,0)),0),0)</f>
        <v>0</v>
      </c>
      <c r="I6871" s="137">
        <f>ROUNDDOWN(I6869+I6870,0)</f>
        <v>23982</v>
      </c>
    </row>
    <row r="6872" spans="2:10" ht="15.95" customHeight="1" x14ac:dyDescent="0.25">
      <c r="C6872" s="109"/>
      <c r="D6872" s="109"/>
      <c r="G6872" s="157"/>
    </row>
    <row r="6873" spans="2:10" ht="15.95" customHeight="1" thickBot="1" x14ac:dyDescent="0.3">
      <c r="B6873" s="109" t="s">
        <v>1456</v>
      </c>
      <c r="C6873" s="104" t="s">
        <v>1457</v>
      </c>
      <c r="G6873" s="157"/>
      <c r="J6873" s="110">
        <f>I6886</f>
        <v>21901</v>
      </c>
    </row>
    <row r="6874" spans="2:10" ht="15.95" customHeight="1" thickBot="1" x14ac:dyDescent="0.3">
      <c r="C6874" s="111" t="s">
        <v>328</v>
      </c>
      <c r="D6874" s="112" t="s">
        <v>359</v>
      </c>
      <c r="E6874" s="113" t="s">
        <v>360</v>
      </c>
      <c r="F6874" s="113" t="s">
        <v>330</v>
      </c>
      <c r="G6874" s="114" t="s">
        <v>361</v>
      </c>
      <c r="H6874" s="112" t="s">
        <v>362</v>
      </c>
      <c r="I6874" s="115" t="s">
        <v>363</v>
      </c>
    </row>
    <row r="6875" spans="2:10" ht="15.95" customHeight="1" x14ac:dyDescent="0.25">
      <c r="C6875" s="116" t="s">
        <v>364</v>
      </c>
      <c r="D6875" s="117" t="s">
        <v>365</v>
      </c>
      <c r="E6875" s="118"/>
      <c r="F6875" s="118"/>
      <c r="G6875" s="165"/>
      <c r="H6875" s="144"/>
      <c r="I6875" s="126"/>
    </row>
    <row r="6876" spans="2:10" ht="15.95" customHeight="1" x14ac:dyDescent="0.25">
      <c r="C6876" s="122"/>
      <c r="D6876" s="117" t="s">
        <v>366</v>
      </c>
      <c r="E6876" s="123" t="s">
        <v>367</v>
      </c>
      <c r="F6876" s="123" t="s">
        <v>368</v>
      </c>
      <c r="G6876" s="242">
        <v>0.15</v>
      </c>
      <c r="H6876" s="125">
        <f>VLOOKUP(D6876,Upah,8,FALSE)</f>
        <v>125000</v>
      </c>
      <c r="I6876" s="126">
        <f>G6876*H6876</f>
        <v>18750</v>
      </c>
    </row>
    <row r="6877" spans="2:10" ht="15.95" customHeight="1" thickBot="1" x14ac:dyDescent="0.3">
      <c r="C6877" s="122"/>
      <c r="D6877" s="117" t="s">
        <v>373</v>
      </c>
      <c r="E6877" s="123" t="s">
        <v>374</v>
      </c>
      <c r="F6877" s="123" t="s">
        <v>368</v>
      </c>
      <c r="G6877" s="242">
        <v>3.0000000000000001E-3</v>
      </c>
      <c r="H6877" s="125">
        <f>VLOOKUP(D6877,Upah,8,FALSE)</f>
        <v>170000</v>
      </c>
      <c r="I6877" s="126">
        <f>G6877*H6877</f>
        <v>510</v>
      </c>
    </row>
    <row r="6878" spans="2:10" ht="15.95" customHeight="1" thickBot="1" x14ac:dyDescent="0.3">
      <c r="C6878" s="132"/>
      <c r="D6878" s="133"/>
      <c r="E6878" s="134"/>
      <c r="F6878" s="134"/>
      <c r="G6878" s="135" t="s">
        <v>375</v>
      </c>
      <c r="H6878" s="136"/>
      <c r="I6878" s="137">
        <f>SUM(I6874:I6877)</f>
        <v>19260</v>
      </c>
    </row>
    <row r="6879" spans="2:10" ht="15.95" customHeight="1" x14ac:dyDescent="0.25">
      <c r="C6879" s="116" t="s">
        <v>376</v>
      </c>
      <c r="D6879" s="117" t="s">
        <v>377</v>
      </c>
      <c r="E6879" s="118"/>
      <c r="F6879" s="118"/>
      <c r="G6879" s="165"/>
      <c r="H6879" s="144"/>
      <c r="I6879" s="126"/>
    </row>
    <row r="6880" spans="2:10" ht="15.95" customHeight="1" thickBot="1" x14ac:dyDescent="0.3">
      <c r="C6880" s="122"/>
      <c r="D6880" s="117" t="s">
        <v>1458</v>
      </c>
      <c r="E6880" s="118"/>
      <c r="F6880" s="123" t="s">
        <v>159</v>
      </c>
      <c r="G6880" s="242">
        <v>0.05</v>
      </c>
      <c r="H6880" s="144">
        <f>VLOOKUP(D6880,Bahan,6,FALSE)</f>
        <v>13000</v>
      </c>
      <c r="I6880" s="126">
        <f>G6880*H6880</f>
        <v>650</v>
      </c>
    </row>
    <row r="6881" spans="2:10" ht="15.95" customHeight="1" thickBot="1" x14ac:dyDescent="0.3">
      <c r="C6881" s="132"/>
      <c r="D6881" s="133"/>
      <c r="E6881" s="134"/>
      <c r="F6881" s="134"/>
      <c r="G6881" s="135" t="s">
        <v>386</v>
      </c>
      <c r="H6881" s="136"/>
      <c r="I6881" s="137">
        <f>SUM(I6879:I6880)</f>
        <v>650</v>
      </c>
    </row>
    <row r="6882" spans="2:10" ht="15.95" customHeight="1" thickBot="1" x14ac:dyDescent="0.3">
      <c r="C6882" s="116" t="s">
        <v>387</v>
      </c>
      <c r="D6882" s="117" t="s">
        <v>388</v>
      </c>
      <c r="E6882" s="118"/>
      <c r="F6882" s="118"/>
      <c r="G6882" s="165"/>
      <c r="H6882" s="144">
        <f>IF(AND(D6882&lt;&gt;"",F6882&lt;&gt;""),IF(C6882="",IF(F6882="OH",VLOOKUP(D6882,[1]UPAH!$B$3:$G$32,7,0),VLOOKUP(D6882,[1]BAHAN!$A$2:$D$3,4,0)),0),0)</f>
        <v>0</v>
      </c>
      <c r="I6882" s="126">
        <f>G6882*H6882</f>
        <v>0</v>
      </c>
    </row>
    <row r="6883" spans="2:10" ht="15.95" customHeight="1" thickBot="1" x14ac:dyDescent="0.3">
      <c r="C6883" s="132"/>
      <c r="D6883" s="133"/>
      <c r="E6883" s="134"/>
      <c r="F6883" s="134"/>
      <c r="G6883" s="135" t="s">
        <v>389</v>
      </c>
      <c r="H6883" s="136"/>
      <c r="I6883" s="137">
        <f>I6882</f>
        <v>0</v>
      </c>
    </row>
    <row r="6884" spans="2:10" ht="15.95" customHeight="1" x14ac:dyDescent="0.25">
      <c r="C6884" s="158" t="s">
        <v>390</v>
      </c>
      <c r="D6884" s="159" t="s">
        <v>391</v>
      </c>
      <c r="E6884" s="160"/>
      <c r="F6884" s="160"/>
      <c r="G6884" s="161"/>
      <c r="H6884" s="162">
        <f>IF(AND(D6884&lt;&gt;"",F6884&lt;&gt;""),IF(C6884="",IF(F6884="OH",VLOOKUP(D6884,[1]UPAH!$B$3:$G$32,7,0),VLOOKUP(D6884,[1]BAHAN!$A$2:$D$3,4,0)),0),0)</f>
        <v>0</v>
      </c>
      <c r="I6884" s="126">
        <f>SUM(I6873:I6883)/2</f>
        <v>19910</v>
      </c>
    </row>
    <row r="6885" spans="2:10" ht="15.95" customHeight="1" thickBot="1" x14ac:dyDescent="0.3">
      <c r="C6885" s="147" t="s">
        <v>392</v>
      </c>
      <c r="D6885" s="148" t="s">
        <v>393</v>
      </c>
      <c r="E6885" s="149"/>
      <c r="F6885" s="149"/>
      <c r="G6885" s="164">
        <v>0.1</v>
      </c>
      <c r="H6885" s="151"/>
      <c r="I6885" s="146">
        <f>G6885*I6884</f>
        <v>1991</v>
      </c>
    </row>
    <row r="6886" spans="2:10" ht="15.95" customHeight="1" thickBot="1" x14ac:dyDescent="0.3">
      <c r="C6886" s="111" t="s">
        <v>394</v>
      </c>
      <c r="D6886" s="112" t="s">
        <v>395</v>
      </c>
      <c r="E6886" s="134"/>
      <c r="F6886" s="134"/>
      <c r="G6886" s="156"/>
      <c r="H6886" s="136">
        <f>IF(AND(D6886&lt;&gt;"",F6886&lt;&gt;""),IF(C6886="",IF(F6886="OH",VLOOKUP(D6886,[1]UPAH!$B$3:$G$32,7,0),VLOOKUP(D6886,[1]BAHAN!$A$2:$D$3,4,0)),0),0)</f>
        <v>0</v>
      </c>
      <c r="I6886" s="137">
        <f>ROUNDDOWN(I6884+I6885,0)</f>
        <v>21901</v>
      </c>
    </row>
    <row r="6887" spans="2:10" ht="15.95" customHeight="1" x14ac:dyDescent="0.25">
      <c r="C6887" s="109"/>
      <c r="D6887" s="109"/>
      <c r="G6887" s="157"/>
    </row>
    <row r="6888" spans="2:10" ht="15.95" customHeight="1" thickBot="1" x14ac:dyDescent="0.3">
      <c r="B6888" s="109" t="s">
        <v>1459</v>
      </c>
      <c r="C6888" s="104" t="s">
        <v>1460</v>
      </c>
      <c r="G6888" s="157"/>
      <c r="J6888" s="110">
        <f>I6901</f>
        <v>22836</v>
      </c>
    </row>
    <row r="6889" spans="2:10" ht="15.95" customHeight="1" thickBot="1" x14ac:dyDescent="0.3">
      <c r="C6889" s="111" t="s">
        <v>328</v>
      </c>
      <c r="D6889" s="112" t="s">
        <v>359</v>
      </c>
      <c r="E6889" s="113" t="s">
        <v>360</v>
      </c>
      <c r="F6889" s="113" t="s">
        <v>330</v>
      </c>
      <c r="G6889" s="114" t="s">
        <v>361</v>
      </c>
      <c r="H6889" s="112" t="s">
        <v>362</v>
      </c>
      <c r="I6889" s="115" t="s">
        <v>363</v>
      </c>
    </row>
    <row r="6890" spans="2:10" ht="15.95" customHeight="1" x14ac:dyDescent="0.25">
      <c r="C6890" s="116" t="s">
        <v>364</v>
      </c>
      <c r="D6890" s="117" t="s">
        <v>365</v>
      </c>
      <c r="E6890" s="118"/>
      <c r="F6890" s="118"/>
      <c r="G6890" s="165"/>
      <c r="H6890" s="144"/>
      <c r="I6890" s="126"/>
    </row>
    <row r="6891" spans="2:10" ht="15.95" customHeight="1" x14ac:dyDescent="0.25">
      <c r="C6891" s="122"/>
      <c r="D6891" s="117" t="s">
        <v>366</v>
      </c>
      <c r="E6891" s="123" t="s">
        <v>367</v>
      </c>
      <c r="F6891" s="123" t="s">
        <v>368</v>
      </c>
      <c r="G6891" s="242">
        <v>0.15</v>
      </c>
      <c r="H6891" s="125">
        <f>VLOOKUP(D6891,Upah,8,FALSE)</f>
        <v>125000</v>
      </c>
      <c r="I6891" s="126">
        <f>G6891*H6891</f>
        <v>18750</v>
      </c>
    </row>
    <row r="6892" spans="2:10" ht="15.95" customHeight="1" thickBot="1" x14ac:dyDescent="0.3">
      <c r="C6892" s="122"/>
      <c r="D6892" s="117" t="s">
        <v>373</v>
      </c>
      <c r="E6892" s="123" t="s">
        <v>374</v>
      </c>
      <c r="F6892" s="123" t="s">
        <v>368</v>
      </c>
      <c r="G6892" s="242">
        <v>8.0000000000000002E-3</v>
      </c>
      <c r="H6892" s="125">
        <f>VLOOKUP(D6892,Upah,8,FALSE)</f>
        <v>170000</v>
      </c>
      <c r="I6892" s="126">
        <f>G6892*H6892</f>
        <v>1360</v>
      </c>
    </row>
    <row r="6893" spans="2:10" ht="15.95" customHeight="1" thickBot="1" x14ac:dyDescent="0.3">
      <c r="C6893" s="132"/>
      <c r="D6893" s="133"/>
      <c r="E6893" s="134"/>
      <c r="F6893" s="134"/>
      <c r="G6893" s="135" t="s">
        <v>375</v>
      </c>
      <c r="H6893" s="136"/>
      <c r="I6893" s="137">
        <f>SUM(I6889:I6892)</f>
        <v>20110</v>
      </c>
    </row>
    <row r="6894" spans="2:10" ht="15.95" customHeight="1" x14ac:dyDescent="0.25">
      <c r="C6894" s="116" t="s">
        <v>376</v>
      </c>
      <c r="D6894" s="117" t="s">
        <v>377</v>
      </c>
      <c r="E6894" s="118"/>
      <c r="F6894" s="118"/>
      <c r="G6894" s="165"/>
      <c r="H6894" s="144"/>
      <c r="I6894" s="126"/>
    </row>
    <row r="6895" spans="2:10" ht="15.95" customHeight="1" thickBot="1" x14ac:dyDescent="0.3">
      <c r="C6895" s="122"/>
      <c r="D6895" s="117" t="s">
        <v>1458</v>
      </c>
      <c r="E6895" s="118"/>
      <c r="F6895" s="123" t="s">
        <v>159</v>
      </c>
      <c r="G6895" s="242">
        <v>0.05</v>
      </c>
      <c r="H6895" s="144">
        <f>VLOOKUP(D6895,Bahan,6,FALSE)</f>
        <v>13000</v>
      </c>
      <c r="I6895" s="126">
        <f>G6895*H6895</f>
        <v>650</v>
      </c>
    </row>
    <row r="6896" spans="2:10" ht="15.95" customHeight="1" thickBot="1" x14ac:dyDescent="0.3">
      <c r="C6896" s="132"/>
      <c r="D6896" s="133"/>
      <c r="E6896" s="134"/>
      <c r="F6896" s="134"/>
      <c r="G6896" s="135" t="s">
        <v>386</v>
      </c>
      <c r="H6896" s="136"/>
      <c r="I6896" s="137">
        <f>SUM(I6894:I6895)</f>
        <v>650</v>
      </c>
    </row>
    <row r="6897" spans="2:10" ht="15.95" customHeight="1" thickBot="1" x14ac:dyDescent="0.3">
      <c r="C6897" s="116" t="s">
        <v>387</v>
      </c>
      <c r="D6897" s="117" t="s">
        <v>388</v>
      </c>
      <c r="E6897" s="118"/>
      <c r="F6897" s="118"/>
      <c r="G6897" s="165"/>
      <c r="H6897" s="144">
        <f>IF(AND(D6897&lt;&gt;"",F6897&lt;&gt;""),IF(C6897="",IF(F6897="OH",VLOOKUP(D6897,[1]UPAH!$B$3:$G$32,7,0),VLOOKUP(D6897,[1]BAHAN!$A$2:$D$3,4,0)),0),0)</f>
        <v>0</v>
      </c>
      <c r="I6897" s="126">
        <f>G6897*H6897</f>
        <v>0</v>
      </c>
    </row>
    <row r="6898" spans="2:10" ht="15.95" customHeight="1" thickBot="1" x14ac:dyDescent="0.3">
      <c r="C6898" s="132"/>
      <c r="D6898" s="133"/>
      <c r="E6898" s="134"/>
      <c r="F6898" s="134"/>
      <c r="G6898" s="135" t="s">
        <v>389</v>
      </c>
      <c r="H6898" s="136"/>
      <c r="I6898" s="137">
        <f>I6897</f>
        <v>0</v>
      </c>
    </row>
    <row r="6899" spans="2:10" ht="15.95" customHeight="1" x14ac:dyDescent="0.25">
      <c r="C6899" s="158" t="s">
        <v>390</v>
      </c>
      <c r="D6899" s="159" t="s">
        <v>391</v>
      </c>
      <c r="E6899" s="160"/>
      <c r="F6899" s="160"/>
      <c r="G6899" s="161"/>
      <c r="H6899" s="162">
        <f>IF(AND(D6899&lt;&gt;"",F6899&lt;&gt;""),IF(C6899="",IF(F6899="OH",VLOOKUP(D6899,[1]UPAH!$B$3:$G$32,7,0),VLOOKUP(D6899,[1]BAHAN!$A$2:$D$3,4,0)),0),0)</f>
        <v>0</v>
      </c>
      <c r="I6899" s="126">
        <f>SUM(I6888:I6898)/2</f>
        <v>20760</v>
      </c>
    </row>
    <row r="6900" spans="2:10" ht="15.95" customHeight="1" thickBot="1" x14ac:dyDescent="0.3">
      <c r="C6900" s="147" t="s">
        <v>392</v>
      </c>
      <c r="D6900" s="148" t="s">
        <v>393</v>
      </c>
      <c r="E6900" s="149"/>
      <c r="F6900" s="149"/>
      <c r="G6900" s="164">
        <v>0.1</v>
      </c>
      <c r="H6900" s="151"/>
      <c r="I6900" s="146">
        <f>G6900*I6899</f>
        <v>2076</v>
      </c>
    </row>
    <row r="6901" spans="2:10" ht="15.95" customHeight="1" thickBot="1" x14ac:dyDescent="0.3">
      <c r="C6901" s="111" t="s">
        <v>394</v>
      </c>
      <c r="D6901" s="112" t="s">
        <v>395</v>
      </c>
      <c r="E6901" s="134"/>
      <c r="F6901" s="134"/>
      <c r="G6901" s="156"/>
      <c r="H6901" s="136">
        <f>IF(AND(D6901&lt;&gt;"",F6901&lt;&gt;""),IF(C6901="",IF(F6901="OH",VLOOKUP(D6901,[1]UPAH!$B$3:$G$32,7,0),VLOOKUP(D6901,[1]BAHAN!$A$2:$D$3,4,0)),0),0)</f>
        <v>0</v>
      </c>
      <c r="I6901" s="137">
        <f>ROUNDDOWN(I6899+I6900,0)</f>
        <v>22836</v>
      </c>
    </row>
    <row r="6902" spans="2:10" ht="15.95" customHeight="1" x14ac:dyDescent="0.25">
      <c r="C6902" s="109"/>
      <c r="D6902" s="109"/>
      <c r="G6902" s="157"/>
    </row>
    <row r="6903" spans="2:10" ht="15.95" customHeight="1" thickBot="1" x14ac:dyDescent="0.3">
      <c r="B6903" s="247" t="s">
        <v>1461</v>
      </c>
      <c r="C6903" s="104" t="s">
        <v>1462</v>
      </c>
      <c r="G6903" s="157"/>
      <c r="J6903" s="110">
        <f>I6924</f>
        <v>52538</v>
      </c>
    </row>
    <row r="6904" spans="2:10" ht="15.95" customHeight="1" thickBot="1" x14ac:dyDescent="0.3">
      <c r="C6904" s="111" t="s">
        <v>328</v>
      </c>
      <c r="D6904" s="112" t="s">
        <v>359</v>
      </c>
      <c r="E6904" s="113" t="s">
        <v>360</v>
      </c>
      <c r="F6904" s="113" t="s">
        <v>330</v>
      </c>
      <c r="G6904" s="114" t="s">
        <v>361</v>
      </c>
      <c r="H6904" s="112" t="s">
        <v>362</v>
      </c>
      <c r="I6904" s="115" t="s">
        <v>363</v>
      </c>
    </row>
    <row r="6905" spans="2:10" ht="15.95" customHeight="1" x14ac:dyDescent="0.25">
      <c r="C6905" s="116" t="s">
        <v>364</v>
      </c>
      <c r="D6905" s="117" t="s">
        <v>365</v>
      </c>
      <c r="E6905" s="118"/>
      <c r="F6905" s="118"/>
      <c r="G6905" s="165"/>
      <c r="H6905" s="144"/>
      <c r="I6905" s="126"/>
    </row>
    <row r="6906" spans="2:10" ht="15.95" customHeight="1" x14ac:dyDescent="0.25">
      <c r="C6906" s="122"/>
      <c r="D6906" s="117" t="s">
        <v>366</v>
      </c>
      <c r="E6906" s="123" t="s">
        <v>367</v>
      </c>
      <c r="F6906" s="123" t="s">
        <v>368</v>
      </c>
      <c r="G6906" s="242">
        <v>7.0000000000000007E-2</v>
      </c>
      <c r="H6906" s="125">
        <f>VLOOKUP(D6906,Upah,8,FALSE)</f>
        <v>125000</v>
      </c>
      <c r="I6906" s="126">
        <f>G6906*H6906</f>
        <v>8750</v>
      </c>
    </row>
    <row r="6907" spans="2:10" ht="15.95" customHeight="1" x14ac:dyDescent="0.25">
      <c r="C6907" s="122"/>
      <c r="D6907" s="117" t="s">
        <v>1463</v>
      </c>
      <c r="E6907" s="123" t="s">
        <v>1464</v>
      </c>
      <c r="F6907" s="123" t="s">
        <v>368</v>
      </c>
      <c r="G6907" s="242">
        <v>8.9999999999999993E-3</v>
      </c>
      <c r="H6907" s="125">
        <f>VLOOKUP(D6907,Upah,8,FALSE)</f>
        <v>150000</v>
      </c>
      <c r="I6907" s="126">
        <f>G6907*H6907</f>
        <v>1350</v>
      </c>
    </row>
    <row r="6908" spans="2:10" ht="15.95" customHeight="1" x14ac:dyDescent="0.25">
      <c r="C6908" s="122"/>
      <c r="D6908" s="117" t="s">
        <v>429</v>
      </c>
      <c r="E6908" s="123" t="s">
        <v>372</v>
      </c>
      <c r="F6908" s="123" t="s">
        <v>368</v>
      </c>
      <c r="G6908" s="242">
        <v>6.0000000000000001E-3</v>
      </c>
      <c r="H6908" s="125">
        <f>VLOOKUP(D6908,Upah,8,FALSE)</f>
        <v>165000</v>
      </c>
      <c r="I6908" s="126">
        <f>G6908*H6908</f>
        <v>990</v>
      </c>
    </row>
    <row r="6909" spans="2:10" ht="15.95" customHeight="1" thickBot="1" x14ac:dyDescent="0.3">
      <c r="C6909" s="122"/>
      <c r="D6909" s="117" t="s">
        <v>373</v>
      </c>
      <c r="E6909" s="123" t="s">
        <v>374</v>
      </c>
      <c r="F6909" s="123" t="s">
        <v>368</v>
      </c>
      <c r="G6909" s="242">
        <v>3.0000000000000001E-3</v>
      </c>
      <c r="H6909" s="125">
        <f>VLOOKUP(D6909,Upah,8,FALSE)</f>
        <v>170000</v>
      </c>
      <c r="I6909" s="126">
        <f>G6909*H6909</f>
        <v>510</v>
      </c>
    </row>
    <row r="6910" spans="2:10" ht="15.95" customHeight="1" thickBot="1" x14ac:dyDescent="0.3">
      <c r="C6910" s="132"/>
      <c r="D6910" s="133"/>
      <c r="E6910" s="134"/>
      <c r="F6910" s="134"/>
      <c r="G6910" s="135" t="s">
        <v>375</v>
      </c>
      <c r="H6910" s="136"/>
      <c r="I6910" s="137">
        <f>SUM(I6906:I6909)</f>
        <v>11600</v>
      </c>
    </row>
    <row r="6911" spans="2:10" ht="15.95" customHeight="1" x14ac:dyDescent="0.25">
      <c r="C6911" s="116" t="s">
        <v>376</v>
      </c>
      <c r="D6911" s="117" t="s">
        <v>377</v>
      </c>
      <c r="E6911" s="118"/>
      <c r="F6911" s="118"/>
      <c r="G6911" s="165"/>
      <c r="H6911" s="144"/>
      <c r="I6911" s="126"/>
    </row>
    <row r="6912" spans="2:10" ht="15.95" customHeight="1" x14ac:dyDescent="0.25">
      <c r="C6912" s="122"/>
      <c r="D6912" s="117" t="s">
        <v>1465</v>
      </c>
      <c r="E6912" s="118"/>
      <c r="F6912" s="123" t="s">
        <v>159</v>
      </c>
      <c r="G6912" s="242">
        <v>0.2</v>
      </c>
      <c r="H6912" s="144">
        <f t="shared" ref="H6912:H6918" si="70">VLOOKUP(D6912,Bahan,6,FALSE)</f>
        <v>30750</v>
      </c>
      <c r="I6912" s="126">
        <f t="shared" ref="I6912:I6918" si="71">G6912*H6912</f>
        <v>6150</v>
      </c>
    </row>
    <row r="6913" spans="2:10" ht="15.95" customHeight="1" x14ac:dyDescent="0.25">
      <c r="C6913" s="122"/>
      <c r="D6913" s="117" t="s">
        <v>1466</v>
      </c>
      <c r="E6913" s="118"/>
      <c r="F6913" s="123" t="s">
        <v>159</v>
      </c>
      <c r="G6913" s="242">
        <v>0.15</v>
      </c>
      <c r="H6913" s="144">
        <f t="shared" si="70"/>
        <v>22000</v>
      </c>
      <c r="I6913" s="126">
        <f t="shared" si="71"/>
        <v>3300</v>
      </c>
    </row>
    <row r="6914" spans="2:10" ht="15.95" customHeight="1" x14ac:dyDescent="0.25">
      <c r="C6914" s="122"/>
      <c r="D6914" s="117" t="s">
        <v>1467</v>
      </c>
      <c r="E6914" s="118"/>
      <c r="F6914" s="123" t="s">
        <v>159</v>
      </c>
      <c r="G6914" s="242">
        <v>0.17</v>
      </c>
      <c r="H6914" s="144">
        <f t="shared" si="70"/>
        <v>39370</v>
      </c>
      <c r="I6914" s="126">
        <f t="shared" si="71"/>
        <v>6692.9000000000005</v>
      </c>
    </row>
    <row r="6915" spans="2:10" ht="15.95" customHeight="1" x14ac:dyDescent="0.25">
      <c r="C6915" s="122"/>
      <c r="D6915" s="117" t="s">
        <v>1468</v>
      </c>
      <c r="E6915" s="118"/>
      <c r="F6915" s="123" t="s">
        <v>159</v>
      </c>
      <c r="G6915" s="242">
        <v>0.26</v>
      </c>
      <c r="H6915" s="144">
        <f t="shared" si="70"/>
        <v>65000</v>
      </c>
      <c r="I6915" s="126">
        <f t="shared" si="71"/>
        <v>16900</v>
      </c>
    </row>
    <row r="6916" spans="2:10" ht="15.95" customHeight="1" x14ac:dyDescent="0.25">
      <c r="C6916" s="122"/>
      <c r="D6916" s="117" t="s">
        <v>1469</v>
      </c>
      <c r="E6916" s="118"/>
      <c r="F6916" s="123" t="s">
        <v>418</v>
      </c>
      <c r="G6916" s="242">
        <v>0.01</v>
      </c>
      <c r="H6916" s="144">
        <f t="shared" si="70"/>
        <v>20740</v>
      </c>
      <c r="I6916" s="126">
        <f t="shared" si="71"/>
        <v>207.4</v>
      </c>
    </row>
    <row r="6917" spans="2:10" ht="15.95" customHeight="1" x14ac:dyDescent="0.25">
      <c r="C6917" s="122"/>
      <c r="D6917" s="117" t="s">
        <v>1470</v>
      </c>
      <c r="E6917" s="118"/>
      <c r="F6917" s="123" t="s">
        <v>159</v>
      </c>
      <c r="G6917" s="242">
        <v>0.03</v>
      </c>
      <c r="H6917" s="144">
        <f t="shared" si="70"/>
        <v>42000</v>
      </c>
      <c r="I6917" s="126">
        <f t="shared" si="71"/>
        <v>1260</v>
      </c>
    </row>
    <row r="6918" spans="2:10" ht="15.95" customHeight="1" thickBot="1" x14ac:dyDescent="0.3">
      <c r="C6918" s="122"/>
      <c r="D6918" s="117" t="s">
        <v>1471</v>
      </c>
      <c r="E6918" s="118"/>
      <c r="F6918" s="123" t="s">
        <v>399</v>
      </c>
      <c r="G6918" s="242">
        <v>0.2</v>
      </c>
      <c r="H6918" s="144">
        <f t="shared" si="70"/>
        <v>8260</v>
      </c>
      <c r="I6918" s="126">
        <f t="shared" si="71"/>
        <v>1652</v>
      </c>
    </row>
    <row r="6919" spans="2:10" ht="15.95" customHeight="1" thickBot="1" x14ac:dyDescent="0.3">
      <c r="C6919" s="132"/>
      <c r="D6919" s="133"/>
      <c r="E6919" s="134"/>
      <c r="F6919" s="134"/>
      <c r="G6919" s="135" t="s">
        <v>386</v>
      </c>
      <c r="H6919" s="136"/>
      <c r="I6919" s="137">
        <f>SUM(I6912:I6918)</f>
        <v>36162.300000000003</v>
      </c>
    </row>
    <row r="6920" spans="2:10" ht="15.95" customHeight="1" thickBot="1" x14ac:dyDescent="0.3">
      <c r="C6920" s="116" t="s">
        <v>387</v>
      </c>
      <c r="D6920" s="117" t="s">
        <v>388</v>
      </c>
      <c r="E6920" s="118"/>
      <c r="F6920" s="118"/>
      <c r="G6920" s="165"/>
      <c r="H6920" s="144">
        <f>IF(AND(D6920&lt;&gt;"",F6920&lt;&gt;""),IF(C6920="",IF(F6920="OH",VLOOKUP(D6920,[1]UPAH!$B$3:$G$32,7,0),VLOOKUP(D6920,[1]BAHAN!$A$2:$D$3,4,0)),0),0)</f>
        <v>0</v>
      </c>
      <c r="I6920" s="126">
        <f>G6920*H6920</f>
        <v>0</v>
      </c>
    </row>
    <row r="6921" spans="2:10" ht="15.95" customHeight="1" thickBot="1" x14ac:dyDescent="0.3">
      <c r="C6921" s="132"/>
      <c r="D6921" s="133"/>
      <c r="E6921" s="134"/>
      <c r="F6921" s="134"/>
      <c r="G6921" s="135" t="s">
        <v>389</v>
      </c>
      <c r="H6921" s="136"/>
      <c r="I6921" s="137">
        <f>I6920</f>
        <v>0</v>
      </c>
    </row>
    <row r="6922" spans="2:10" ht="15.95" customHeight="1" x14ac:dyDescent="0.25">
      <c r="C6922" s="158" t="s">
        <v>390</v>
      </c>
      <c r="D6922" s="159" t="s">
        <v>391</v>
      </c>
      <c r="E6922" s="160"/>
      <c r="F6922" s="160"/>
      <c r="G6922" s="161"/>
      <c r="H6922" s="162">
        <f>IF(AND(D6922&lt;&gt;"",F6922&lt;&gt;""),IF(C6922="",IF(F6922="OH",VLOOKUP(D6922,[1]UPAH!$B$3:$G$32,7,0),VLOOKUP(D6922,[1]BAHAN!$A$2:$D$3,4,0)),0),0)</f>
        <v>0</v>
      </c>
      <c r="I6922" s="126">
        <f>SUM(I6906:I6921)/2</f>
        <v>47762.3</v>
      </c>
    </row>
    <row r="6923" spans="2:10" ht="15.95" customHeight="1" thickBot="1" x14ac:dyDescent="0.3">
      <c r="C6923" s="147" t="s">
        <v>392</v>
      </c>
      <c r="D6923" s="148" t="s">
        <v>393</v>
      </c>
      <c r="E6923" s="149"/>
      <c r="F6923" s="149"/>
      <c r="G6923" s="164">
        <v>0.1</v>
      </c>
      <c r="H6923" s="151"/>
      <c r="I6923" s="146">
        <f>G6923*I6922</f>
        <v>4776.2300000000005</v>
      </c>
    </row>
    <row r="6924" spans="2:10" ht="15.95" customHeight="1" thickBot="1" x14ac:dyDescent="0.3">
      <c r="C6924" s="111" t="s">
        <v>394</v>
      </c>
      <c r="D6924" s="112" t="s">
        <v>395</v>
      </c>
      <c r="E6924" s="134"/>
      <c r="F6924" s="134"/>
      <c r="G6924" s="156"/>
      <c r="H6924" s="136">
        <f>IF(AND(D6924&lt;&gt;"",F6924&lt;&gt;""),IF(C6924="",IF(F6924="OH",VLOOKUP(D6924,[1]UPAH!$B$3:$G$32,7,0),VLOOKUP(D6924,[1]BAHAN!$A$2:$D$3,4,0)),0),0)</f>
        <v>0</v>
      </c>
      <c r="I6924" s="137">
        <f>ROUNDDOWN(I6922+I6923,0)</f>
        <v>52538</v>
      </c>
    </row>
    <row r="6925" spans="2:10" ht="15.95" customHeight="1" x14ac:dyDescent="0.25">
      <c r="C6925" s="109"/>
      <c r="D6925" s="109"/>
      <c r="G6925" s="157"/>
    </row>
    <row r="6926" spans="2:10" ht="15.95" customHeight="1" thickBot="1" x14ac:dyDescent="0.3">
      <c r="B6926" s="109" t="s">
        <v>1472</v>
      </c>
      <c r="C6926" s="104" t="s">
        <v>1473</v>
      </c>
      <c r="G6926" s="157"/>
      <c r="J6926" s="110">
        <f>I6947</f>
        <v>74450</v>
      </c>
    </row>
    <row r="6927" spans="2:10" ht="15.95" customHeight="1" thickBot="1" x14ac:dyDescent="0.3">
      <c r="C6927" s="111" t="s">
        <v>328</v>
      </c>
      <c r="D6927" s="112" t="s">
        <v>359</v>
      </c>
      <c r="E6927" s="113" t="s">
        <v>360</v>
      </c>
      <c r="F6927" s="113" t="s">
        <v>330</v>
      </c>
      <c r="G6927" s="114" t="s">
        <v>361</v>
      </c>
      <c r="H6927" s="112" t="s">
        <v>362</v>
      </c>
      <c r="I6927" s="115" t="s">
        <v>363</v>
      </c>
    </row>
    <row r="6928" spans="2:10" ht="15.95" customHeight="1" x14ac:dyDescent="0.25">
      <c r="C6928" s="116" t="s">
        <v>364</v>
      </c>
      <c r="D6928" s="117" t="s">
        <v>365</v>
      </c>
      <c r="E6928" s="118"/>
      <c r="F6928" s="118"/>
      <c r="G6928" s="165"/>
      <c r="H6928" s="144"/>
      <c r="I6928" s="126"/>
    </row>
    <row r="6929" spans="3:9" ht="15.95" customHeight="1" x14ac:dyDescent="0.25">
      <c r="C6929" s="122"/>
      <c r="D6929" s="117" t="s">
        <v>366</v>
      </c>
      <c r="E6929" s="123" t="s">
        <v>367</v>
      </c>
      <c r="F6929" s="123" t="s">
        <v>368</v>
      </c>
      <c r="G6929" s="242">
        <v>7.0000000000000007E-2</v>
      </c>
      <c r="H6929" s="125">
        <f>VLOOKUP(D6929,Upah,8,FALSE)</f>
        <v>125000</v>
      </c>
      <c r="I6929" s="126">
        <f>G6929*H6929</f>
        <v>8750</v>
      </c>
    </row>
    <row r="6930" spans="3:9" ht="15.95" customHeight="1" x14ac:dyDescent="0.25">
      <c r="C6930" s="122"/>
      <c r="D6930" s="117" t="s">
        <v>1463</v>
      </c>
      <c r="E6930" s="123" t="s">
        <v>1464</v>
      </c>
      <c r="F6930" s="123" t="s">
        <v>368</v>
      </c>
      <c r="G6930" s="242">
        <v>0.105</v>
      </c>
      <c r="H6930" s="125">
        <f>VLOOKUP(D6930,Upah,8,FALSE)</f>
        <v>150000</v>
      </c>
      <c r="I6930" s="126">
        <f>G6930*H6930</f>
        <v>15750</v>
      </c>
    </row>
    <row r="6931" spans="3:9" ht="15.95" customHeight="1" x14ac:dyDescent="0.25">
      <c r="C6931" s="122"/>
      <c r="D6931" s="117" t="s">
        <v>429</v>
      </c>
      <c r="E6931" s="123" t="s">
        <v>372</v>
      </c>
      <c r="F6931" s="123" t="s">
        <v>368</v>
      </c>
      <c r="G6931" s="242">
        <v>4.0000000000000001E-3</v>
      </c>
      <c r="H6931" s="125">
        <f>VLOOKUP(D6931,Upah,8,FALSE)</f>
        <v>165000</v>
      </c>
      <c r="I6931" s="126">
        <f>G6931*H6931</f>
        <v>660</v>
      </c>
    </row>
    <row r="6932" spans="3:9" ht="15.95" customHeight="1" thickBot="1" x14ac:dyDescent="0.3">
      <c r="C6932" s="122"/>
      <c r="D6932" s="117" t="s">
        <v>373</v>
      </c>
      <c r="E6932" s="123" t="s">
        <v>374</v>
      </c>
      <c r="F6932" s="123" t="s">
        <v>368</v>
      </c>
      <c r="G6932" s="242">
        <v>3.0000000000000001E-3</v>
      </c>
      <c r="H6932" s="125">
        <f>VLOOKUP(D6932,Upah,8,FALSE)</f>
        <v>170000</v>
      </c>
      <c r="I6932" s="126">
        <f>G6932*H6932</f>
        <v>510</v>
      </c>
    </row>
    <row r="6933" spans="3:9" ht="15.95" customHeight="1" thickBot="1" x14ac:dyDescent="0.3">
      <c r="C6933" s="132"/>
      <c r="D6933" s="133"/>
      <c r="E6933" s="134"/>
      <c r="F6933" s="134"/>
      <c r="G6933" s="135" t="s">
        <v>375</v>
      </c>
      <c r="H6933" s="136"/>
      <c r="I6933" s="137">
        <f>SUM(I6929:I6932)</f>
        <v>25670</v>
      </c>
    </row>
    <row r="6934" spans="3:9" ht="15.95" customHeight="1" x14ac:dyDescent="0.25">
      <c r="C6934" s="116" t="s">
        <v>376</v>
      </c>
      <c r="D6934" s="117" t="s">
        <v>377</v>
      </c>
      <c r="E6934" s="118"/>
      <c r="F6934" s="118"/>
      <c r="G6934" s="165"/>
      <c r="H6934" s="144"/>
      <c r="I6934" s="126"/>
    </row>
    <row r="6935" spans="3:9" ht="15.95" customHeight="1" x14ac:dyDescent="0.25">
      <c r="C6935" s="122"/>
      <c r="D6935" s="117" t="s">
        <v>1465</v>
      </c>
      <c r="E6935" s="118"/>
      <c r="F6935" s="123" t="s">
        <v>159</v>
      </c>
      <c r="G6935" s="242">
        <v>0.2</v>
      </c>
      <c r="H6935" s="144">
        <f t="shared" ref="H6935:H6941" si="72">VLOOKUP(D6935,Bahan,6,FALSE)</f>
        <v>30750</v>
      </c>
      <c r="I6935" s="126">
        <f t="shared" ref="I6935:I6941" si="73">G6935*H6935</f>
        <v>6150</v>
      </c>
    </row>
    <row r="6936" spans="3:9" ht="15.95" customHeight="1" x14ac:dyDescent="0.25">
      <c r="C6936" s="122"/>
      <c r="D6936" s="117" t="s">
        <v>1466</v>
      </c>
      <c r="E6936" s="118"/>
      <c r="F6936" s="123" t="s">
        <v>159</v>
      </c>
      <c r="G6936" s="242">
        <v>0.15</v>
      </c>
      <c r="H6936" s="144">
        <f t="shared" si="72"/>
        <v>22000</v>
      </c>
      <c r="I6936" s="126">
        <f t="shared" si="73"/>
        <v>3300</v>
      </c>
    </row>
    <row r="6937" spans="3:9" ht="15.95" customHeight="1" x14ac:dyDescent="0.25">
      <c r="C6937" s="122"/>
      <c r="D6937" s="117" t="s">
        <v>1467</v>
      </c>
      <c r="E6937" s="118"/>
      <c r="F6937" s="123" t="s">
        <v>159</v>
      </c>
      <c r="G6937" s="242">
        <v>0.17</v>
      </c>
      <c r="H6937" s="144">
        <f t="shared" si="72"/>
        <v>39370</v>
      </c>
      <c r="I6937" s="126">
        <f t="shared" si="73"/>
        <v>6692.9000000000005</v>
      </c>
    </row>
    <row r="6938" spans="3:9" ht="15.95" customHeight="1" x14ac:dyDescent="0.25">
      <c r="C6938" s="122"/>
      <c r="D6938" s="117" t="s">
        <v>1468</v>
      </c>
      <c r="E6938" s="118"/>
      <c r="F6938" s="123" t="s">
        <v>159</v>
      </c>
      <c r="G6938" s="242">
        <v>0.35</v>
      </c>
      <c r="H6938" s="144">
        <f t="shared" si="72"/>
        <v>65000</v>
      </c>
      <c r="I6938" s="126">
        <f t="shared" si="73"/>
        <v>22750</v>
      </c>
    </row>
    <row r="6939" spans="3:9" ht="15.95" customHeight="1" x14ac:dyDescent="0.25">
      <c r="C6939" s="122"/>
      <c r="D6939" s="117" t="s">
        <v>1469</v>
      </c>
      <c r="E6939" s="118"/>
      <c r="F6939" s="123" t="s">
        <v>418</v>
      </c>
      <c r="G6939" s="242">
        <v>0.01</v>
      </c>
      <c r="H6939" s="144">
        <f t="shared" si="72"/>
        <v>20740</v>
      </c>
      <c r="I6939" s="126">
        <f t="shared" si="73"/>
        <v>207.4</v>
      </c>
    </row>
    <row r="6940" spans="3:9" ht="15.95" customHeight="1" x14ac:dyDescent="0.25">
      <c r="C6940" s="122"/>
      <c r="D6940" s="117" t="s">
        <v>1470</v>
      </c>
      <c r="E6940" s="118"/>
      <c r="F6940" s="123" t="s">
        <v>159</v>
      </c>
      <c r="G6940" s="242">
        <v>0.03</v>
      </c>
      <c r="H6940" s="144">
        <f t="shared" si="72"/>
        <v>42000</v>
      </c>
      <c r="I6940" s="126">
        <f t="shared" si="73"/>
        <v>1260</v>
      </c>
    </row>
    <row r="6941" spans="3:9" ht="15.95" customHeight="1" thickBot="1" x14ac:dyDescent="0.3">
      <c r="C6941" s="122"/>
      <c r="D6941" s="117" t="s">
        <v>1471</v>
      </c>
      <c r="E6941" s="118"/>
      <c r="F6941" s="123" t="s">
        <v>399</v>
      </c>
      <c r="G6941" s="242">
        <v>0.2</v>
      </c>
      <c r="H6941" s="144">
        <f t="shared" si="72"/>
        <v>8260</v>
      </c>
      <c r="I6941" s="126">
        <f t="shared" si="73"/>
        <v>1652</v>
      </c>
    </row>
    <row r="6942" spans="3:9" ht="15.95" customHeight="1" thickBot="1" x14ac:dyDescent="0.3">
      <c r="C6942" s="132"/>
      <c r="D6942" s="133"/>
      <c r="E6942" s="134"/>
      <c r="F6942" s="134"/>
      <c r="G6942" s="135" t="s">
        <v>386</v>
      </c>
      <c r="H6942" s="136"/>
      <c r="I6942" s="137">
        <f>SUM(I6935:I6941)</f>
        <v>42012.3</v>
      </c>
    </row>
    <row r="6943" spans="3:9" ht="15.95" customHeight="1" thickBot="1" x14ac:dyDescent="0.3">
      <c r="C6943" s="116" t="s">
        <v>387</v>
      </c>
      <c r="D6943" s="117" t="s">
        <v>388</v>
      </c>
      <c r="E6943" s="118"/>
      <c r="F6943" s="118"/>
      <c r="G6943" s="165"/>
      <c r="H6943" s="144">
        <f>IF(AND(D6943&lt;&gt;"",F6943&lt;&gt;""),IF(C6943="",IF(F6943="OH",VLOOKUP(D6943,[1]UPAH!$B$3:$G$32,7,0),VLOOKUP(D6943,[1]BAHAN!$A$2:$D$3,4,0)),0),0)</f>
        <v>0</v>
      </c>
      <c r="I6943" s="126">
        <f>G6943*H6943</f>
        <v>0</v>
      </c>
    </row>
    <row r="6944" spans="3:9" ht="15.95" customHeight="1" thickBot="1" x14ac:dyDescent="0.3">
      <c r="C6944" s="132"/>
      <c r="D6944" s="133"/>
      <c r="E6944" s="134"/>
      <c r="F6944" s="134"/>
      <c r="G6944" s="135" t="s">
        <v>389</v>
      </c>
      <c r="H6944" s="136"/>
      <c r="I6944" s="137">
        <f>I6943</f>
        <v>0</v>
      </c>
    </row>
    <row r="6945" spans="2:10" ht="15.95" customHeight="1" x14ac:dyDescent="0.25">
      <c r="C6945" s="158" t="s">
        <v>390</v>
      </c>
      <c r="D6945" s="159" t="s">
        <v>391</v>
      </c>
      <c r="E6945" s="160"/>
      <c r="F6945" s="160"/>
      <c r="G6945" s="161"/>
      <c r="H6945" s="162">
        <f>IF(AND(D6945&lt;&gt;"",F6945&lt;&gt;""),IF(C6945="",IF(F6945="OH",VLOOKUP(D6945,[1]UPAH!$B$3:$G$32,7,0),VLOOKUP(D6945,[1]BAHAN!$A$2:$D$3,4,0)),0),0)</f>
        <v>0</v>
      </c>
      <c r="I6945" s="126">
        <f>SUM(I6928:I6944)/2</f>
        <v>67682.299999999988</v>
      </c>
    </row>
    <row r="6946" spans="2:10" ht="15.95" customHeight="1" thickBot="1" x14ac:dyDescent="0.3">
      <c r="C6946" s="147" t="s">
        <v>392</v>
      </c>
      <c r="D6946" s="148" t="s">
        <v>393</v>
      </c>
      <c r="E6946" s="149"/>
      <c r="F6946" s="149"/>
      <c r="G6946" s="164">
        <v>0.1</v>
      </c>
      <c r="H6946" s="151"/>
      <c r="I6946" s="146">
        <f>G6946*I6945</f>
        <v>6768.23</v>
      </c>
    </row>
    <row r="6947" spans="2:10" ht="15.95" customHeight="1" thickBot="1" x14ac:dyDescent="0.3">
      <c r="C6947" s="111" t="s">
        <v>394</v>
      </c>
      <c r="D6947" s="112" t="s">
        <v>395</v>
      </c>
      <c r="E6947" s="134"/>
      <c r="F6947" s="134"/>
      <c r="G6947" s="156"/>
      <c r="H6947" s="136">
        <f>IF(AND(D6947&lt;&gt;"",F6947&lt;&gt;""),IF(C6947="",IF(F6947="OH",VLOOKUP(D6947,[1]UPAH!$B$3:$G$32,7,0),VLOOKUP(D6947,[1]BAHAN!$A$2:$D$3,4,0)),0),0)</f>
        <v>0</v>
      </c>
      <c r="I6947" s="137">
        <f>ROUNDDOWN(I6945+I6946,0)</f>
        <v>74450</v>
      </c>
    </row>
    <row r="6948" spans="2:10" ht="15.95" customHeight="1" x14ac:dyDescent="0.25">
      <c r="C6948" s="109"/>
      <c r="D6948" s="109"/>
      <c r="G6948" s="157"/>
    </row>
    <row r="6949" spans="2:10" ht="15.95" customHeight="1" thickBot="1" x14ac:dyDescent="0.3">
      <c r="B6949" s="109" t="s">
        <v>1474</v>
      </c>
      <c r="C6949" s="104" t="s">
        <v>1475</v>
      </c>
      <c r="G6949" s="157"/>
      <c r="J6949" s="110">
        <f>I6964</f>
        <v>35992</v>
      </c>
    </row>
    <row r="6950" spans="2:10" ht="15.95" customHeight="1" thickBot="1" x14ac:dyDescent="0.3">
      <c r="C6950" s="111" t="s">
        <v>328</v>
      </c>
      <c r="D6950" s="112" t="s">
        <v>359</v>
      </c>
      <c r="E6950" s="113" t="s">
        <v>360</v>
      </c>
      <c r="F6950" s="113" t="s">
        <v>330</v>
      </c>
      <c r="G6950" s="114" t="s">
        <v>361</v>
      </c>
      <c r="H6950" s="112" t="s">
        <v>362</v>
      </c>
      <c r="I6950" s="115" t="s">
        <v>363</v>
      </c>
    </row>
    <row r="6951" spans="2:10" ht="15.95" customHeight="1" x14ac:dyDescent="0.25">
      <c r="C6951" s="116" t="s">
        <v>364</v>
      </c>
      <c r="D6951" s="117" t="s">
        <v>365</v>
      </c>
      <c r="E6951" s="118"/>
      <c r="F6951" s="118"/>
      <c r="G6951" s="165"/>
      <c r="H6951" s="144"/>
      <c r="I6951" s="126"/>
    </row>
    <row r="6952" spans="2:10" ht="15.95" customHeight="1" x14ac:dyDescent="0.25">
      <c r="C6952" s="122"/>
      <c r="D6952" s="117" t="s">
        <v>366</v>
      </c>
      <c r="E6952" s="123" t="s">
        <v>367</v>
      </c>
      <c r="F6952" s="123" t="s">
        <v>368</v>
      </c>
      <c r="G6952" s="242">
        <v>0.04</v>
      </c>
      <c r="H6952" s="125">
        <f>VLOOKUP(D6952,Upah,8,FALSE)</f>
        <v>125000</v>
      </c>
      <c r="I6952" s="126">
        <f>G6952*H6952</f>
        <v>5000</v>
      </c>
    </row>
    <row r="6953" spans="2:10" ht="15.95" customHeight="1" x14ac:dyDescent="0.25">
      <c r="C6953" s="122"/>
      <c r="D6953" s="117" t="s">
        <v>1463</v>
      </c>
      <c r="E6953" s="123" t="s">
        <v>1464</v>
      </c>
      <c r="F6953" s="123" t="s">
        <v>368</v>
      </c>
      <c r="G6953" s="242">
        <v>6.3E-2</v>
      </c>
      <c r="H6953" s="125">
        <f>VLOOKUP(D6953,Upah,8,FALSE)</f>
        <v>150000</v>
      </c>
      <c r="I6953" s="126">
        <f>G6953*H6953</f>
        <v>9450</v>
      </c>
    </row>
    <row r="6954" spans="2:10" ht="15.95" customHeight="1" x14ac:dyDescent="0.25">
      <c r="C6954" s="122"/>
      <c r="D6954" s="117" t="s">
        <v>429</v>
      </c>
      <c r="E6954" s="123" t="s">
        <v>372</v>
      </c>
      <c r="F6954" s="123" t="s">
        <v>368</v>
      </c>
      <c r="G6954" s="242">
        <v>6.3E-2</v>
      </c>
      <c r="H6954" s="125">
        <f>VLOOKUP(D6954,Upah,8,FALSE)</f>
        <v>165000</v>
      </c>
      <c r="I6954" s="126">
        <f>G6954*H6954</f>
        <v>10395</v>
      </c>
    </row>
    <row r="6955" spans="2:10" ht="15.95" customHeight="1" thickBot="1" x14ac:dyDescent="0.3">
      <c r="C6955" s="122"/>
      <c r="D6955" s="117" t="s">
        <v>373</v>
      </c>
      <c r="E6955" s="123" t="s">
        <v>374</v>
      </c>
      <c r="F6955" s="123" t="s">
        <v>368</v>
      </c>
      <c r="G6955" s="242">
        <v>3.0000000000000001E-3</v>
      </c>
      <c r="H6955" s="125">
        <f>VLOOKUP(D6955,Upah,8,FALSE)</f>
        <v>170000</v>
      </c>
      <c r="I6955" s="126">
        <f>G6955*H6955</f>
        <v>510</v>
      </c>
    </row>
    <row r="6956" spans="2:10" ht="15.95" customHeight="1" thickBot="1" x14ac:dyDescent="0.3">
      <c r="C6956" s="132"/>
      <c r="D6956" s="133"/>
      <c r="E6956" s="134"/>
      <c r="F6956" s="134"/>
      <c r="G6956" s="135" t="s">
        <v>375</v>
      </c>
      <c r="H6956" s="136"/>
      <c r="I6956" s="137">
        <f>SUM(I6952:I6955)</f>
        <v>25355</v>
      </c>
    </row>
    <row r="6957" spans="2:10" ht="15.95" customHeight="1" x14ac:dyDescent="0.25">
      <c r="C6957" s="116" t="s">
        <v>376</v>
      </c>
      <c r="D6957" s="117" t="s">
        <v>377</v>
      </c>
      <c r="E6957" s="118"/>
      <c r="F6957" s="118"/>
      <c r="G6957" s="165"/>
      <c r="H6957" s="144"/>
      <c r="I6957" s="126"/>
    </row>
    <row r="6958" spans="2:10" ht="15.95" customHeight="1" thickBot="1" x14ac:dyDescent="0.3">
      <c r="C6958" s="122"/>
      <c r="D6958" s="117" t="s">
        <v>1476</v>
      </c>
      <c r="E6958" s="118"/>
      <c r="F6958" s="123" t="s">
        <v>636</v>
      </c>
      <c r="G6958" s="242">
        <v>0.36</v>
      </c>
      <c r="H6958" s="144">
        <f>VLOOKUP(D6958,Bahan,6,FALSE)</f>
        <v>20460</v>
      </c>
      <c r="I6958" s="126">
        <f>G6958*H6958</f>
        <v>7365.5999999999995</v>
      </c>
    </row>
    <row r="6959" spans="2:10" ht="15.95" customHeight="1" thickBot="1" x14ac:dyDescent="0.3">
      <c r="C6959" s="132"/>
      <c r="D6959" s="133"/>
      <c r="E6959" s="134"/>
      <c r="F6959" s="134"/>
      <c r="G6959" s="135" t="s">
        <v>386</v>
      </c>
      <c r="H6959" s="136"/>
      <c r="I6959" s="137">
        <f>SUM(I6957:I6958)</f>
        <v>7365.5999999999995</v>
      </c>
    </row>
    <row r="6960" spans="2:10" ht="15.95" customHeight="1" thickBot="1" x14ac:dyDescent="0.3">
      <c r="C6960" s="116" t="s">
        <v>387</v>
      </c>
      <c r="D6960" s="117" t="s">
        <v>388</v>
      </c>
      <c r="E6960" s="118"/>
      <c r="F6960" s="118"/>
      <c r="G6960" s="165"/>
      <c r="H6960" s="144">
        <f>IF(AND(D6960&lt;&gt;"",F6960&lt;&gt;""),IF(C6960="",IF(F6960="OH",VLOOKUP(D6960,[1]UPAH!$B$3:$G$32,7,0),VLOOKUP(D6960,[1]BAHAN!$A$2:$D$3,4,0)),0),0)</f>
        <v>0</v>
      </c>
      <c r="I6960" s="126">
        <f>G6960*H6960</f>
        <v>0</v>
      </c>
    </row>
    <row r="6961" spans="2:10" ht="15.95" customHeight="1" thickBot="1" x14ac:dyDescent="0.3">
      <c r="C6961" s="132"/>
      <c r="D6961" s="133"/>
      <c r="E6961" s="134"/>
      <c r="F6961" s="134"/>
      <c r="G6961" s="135" t="s">
        <v>389</v>
      </c>
      <c r="H6961" s="136"/>
      <c r="I6961" s="137">
        <f>I6960</f>
        <v>0</v>
      </c>
    </row>
    <row r="6962" spans="2:10" ht="15.95" customHeight="1" x14ac:dyDescent="0.25">
      <c r="C6962" s="158" t="s">
        <v>390</v>
      </c>
      <c r="D6962" s="159" t="s">
        <v>391</v>
      </c>
      <c r="E6962" s="160"/>
      <c r="F6962" s="160"/>
      <c r="G6962" s="161"/>
      <c r="H6962" s="162">
        <f>IF(AND(D6962&lt;&gt;"",F6962&lt;&gt;""),IF(C6962="",IF(F6962="OH",VLOOKUP(D6962,[1]UPAH!$B$3:$G$32,7,0),VLOOKUP(D6962,[1]BAHAN!$A$2:$D$3,4,0)),0),0)</f>
        <v>0</v>
      </c>
      <c r="I6962" s="126">
        <f>SUM(I6951:I6961)/2</f>
        <v>32720.6</v>
      </c>
    </row>
    <row r="6963" spans="2:10" ht="15.95" customHeight="1" thickBot="1" x14ac:dyDescent="0.3">
      <c r="C6963" s="147" t="s">
        <v>392</v>
      </c>
      <c r="D6963" s="148" t="s">
        <v>393</v>
      </c>
      <c r="E6963" s="149"/>
      <c r="F6963" s="149"/>
      <c r="G6963" s="164">
        <v>0.1</v>
      </c>
      <c r="H6963" s="151"/>
      <c r="I6963" s="146">
        <f>G6963*I6962</f>
        <v>3272.06</v>
      </c>
    </row>
    <row r="6964" spans="2:10" ht="15.95" customHeight="1" thickBot="1" x14ac:dyDescent="0.3">
      <c r="C6964" s="111" t="s">
        <v>394</v>
      </c>
      <c r="D6964" s="112" t="s">
        <v>395</v>
      </c>
      <c r="E6964" s="134"/>
      <c r="F6964" s="134"/>
      <c r="G6964" s="156"/>
      <c r="H6964" s="136">
        <f>IF(AND(D6964&lt;&gt;"",F6964&lt;&gt;""),IF(C6964="",IF(F6964="OH",VLOOKUP(D6964,[1]UPAH!$B$3:$G$32,7,0),VLOOKUP(D6964,[1]BAHAN!$A$2:$D$3,4,0)),0),0)</f>
        <v>0</v>
      </c>
      <c r="I6964" s="137">
        <f>ROUNDDOWN(I6962+I6963,0)</f>
        <v>35992</v>
      </c>
    </row>
    <row r="6965" spans="2:10" ht="15.95" customHeight="1" x14ac:dyDescent="0.25">
      <c r="C6965" s="109"/>
      <c r="D6965" s="109"/>
      <c r="G6965" s="157"/>
    </row>
    <row r="6966" spans="2:10" ht="15.95" customHeight="1" thickBot="1" x14ac:dyDescent="0.3">
      <c r="B6966" s="109" t="s">
        <v>1477</v>
      </c>
      <c r="C6966" s="104" t="s">
        <v>1478</v>
      </c>
      <c r="G6966" s="157"/>
      <c r="J6966" s="110">
        <f>I6983</f>
        <v>66819</v>
      </c>
    </row>
    <row r="6967" spans="2:10" ht="15.95" customHeight="1" thickBot="1" x14ac:dyDescent="0.3">
      <c r="C6967" s="111" t="s">
        <v>328</v>
      </c>
      <c r="D6967" s="112" t="s">
        <v>359</v>
      </c>
      <c r="E6967" s="113" t="s">
        <v>360</v>
      </c>
      <c r="F6967" s="113" t="s">
        <v>330</v>
      </c>
      <c r="G6967" s="114" t="s">
        <v>361</v>
      </c>
      <c r="H6967" s="112" t="s">
        <v>362</v>
      </c>
      <c r="I6967" s="115" t="s">
        <v>363</v>
      </c>
    </row>
    <row r="6968" spans="2:10" ht="15.95" customHeight="1" x14ac:dyDescent="0.25">
      <c r="C6968" s="116" t="s">
        <v>364</v>
      </c>
      <c r="D6968" s="117" t="s">
        <v>365</v>
      </c>
      <c r="E6968" s="118"/>
      <c r="F6968" s="118"/>
      <c r="G6968" s="165"/>
      <c r="H6968" s="144"/>
      <c r="I6968" s="126"/>
    </row>
    <row r="6969" spans="2:10" ht="15.95" customHeight="1" x14ac:dyDescent="0.25">
      <c r="C6969" s="122"/>
      <c r="D6969" s="117" t="s">
        <v>366</v>
      </c>
      <c r="E6969" s="123" t="s">
        <v>367</v>
      </c>
      <c r="F6969" s="123" t="s">
        <v>368</v>
      </c>
      <c r="G6969" s="242">
        <v>0.04</v>
      </c>
      <c r="H6969" s="125">
        <f>VLOOKUP(D6969,Upah,8,FALSE)</f>
        <v>125000</v>
      </c>
      <c r="I6969" s="126">
        <f>G6969*H6969</f>
        <v>5000</v>
      </c>
    </row>
    <row r="6970" spans="2:10" ht="15.95" customHeight="1" x14ac:dyDescent="0.25">
      <c r="C6970" s="122"/>
      <c r="D6970" s="117" t="s">
        <v>1463</v>
      </c>
      <c r="E6970" s="123" t="s">
        <v>1464</v>
      </c>
      <c r="F6970" s="123" t="s">
        <v>368</v>
      </c>
      <c r="G6970" s="242">
        <v>0.06</v>
      </c>
      <c r="H6970" s="125">
        <f>VLOOKUP(D6970,Upah,8,FALSE)</f>
        <v>150000</v>
      </c>
      <c r="I6970" s="126">
        <f>G6970*H6970</f>
        <v>9000</v>
      </c>
    </row>
    <row r="6971" spans="2:10" ht="15.95" customHeight="1" x14ac:dyDescent="0.25">
      <c r="C6971" s="122"/>
      <c r="D6971" s="117" t="s">
        <v>429</v>
      </c>
      <c r="E6971" s="123" t="s">
        <v>372</v>
      </c>
      <c r="F6971" s="123" t="s">
        <v>368</v>
      </c>
      <c r="G6971" s="242">
        <v>1.6E-2</v>
      </c>
      <c r="H6971" s="125">
        <f>VLOOKUP(D6971,Upah,8,FALSE)</f>
        <v>165000</v>
      </c>
      <c r="I6971" s="126">
        <f>G6971*H6971</f>
        <v>2640</v>
      </c>
    </row>
    <row r="6972" spans="2:10" ht="15.95" customHeight="1" thickBot="1" x14ac:dyDescent="0.3">
      <c r="C6972" s="122"/>
      <c r="D6972" s="117" t="s">
        <v>373</v>
      </c>
      <c r="E6972" s="123" t="s">
        <v>374</v>
      </c>
      <c r="F6972" s="123" t="s">
        <v>368</v>
      </c>
      <c r="G6972" s="242">
        <v>3.0000000000000001E-3</v>
      </c>
      <c r="H6972" s="125">
        <f>VLOOKUP(D6972,Upah,8,FALSE)</f>
        <v>170000</v>
      </c>
      <c r="I6972" s="126">
        <f>G6972*H6972</f>
        <v>510</v>
      </c>
    </row>
    <row r="6973" spans="2:10" ht="15.95" customHeight="1" thickBot="1" x14ac:dyDescent="0.3">
      <c r="C6973" s="132"/>
      <c r="D6973" s="133"/>
      <c r="E6973" s="134"/>
      <c r="F6973" s="134"/>
      <c r="G6973" s="135" t="s">
        <v>375</v>
      </c>
      <c r="H6973" s="136"/>
      <c r="I6973" s="137">
        <f>SUM(I6969:I6972)</f>
        <v>17150</v>
      </c>
    </row>
    <row r="6974" spans="2:10" ht="15.95" customHeight="1" x14ac:dyDescent="0.25">
      <c r="C6974" s="116" t="s">
        <v>376</v>
      </c>
      <c r="D6974" s="117" t="s">
        <v>377</v>
      </c>
      <c r="E6974" s="118"/>
      <c r="F6974" s="118"/>
      <c r="G6974" s="165"/>
      <c r="H6974" s="144"/>
      <c r="I6974" s="126"/>
    </row>
    <row r="6975" spans="2:10" ht="15.95" customHeight="1" x14ac:dyDescent="0.25">
      <c r="C6975" s="122"/>
      <c r="D6975" s="117" t="s">
        <v>1479</v>
      </c>
      <c r="E6975" s="118"/>
      <c r="F6975" s="123" t="s">
        <v>636</v>
      </c>
      <c r="G6975" s="242">
        <v>0.15</v>
      </c>
      <c r="H6975" s="144">
        <f>VLOOKUP(D6975,Bahan,6,FALSE)</f>
        <v>44100</v>
      </c>
      <c r="I6975" s="126">
        <f>G6975*H6975</f>
        <v>6615</v>
      </c>
    </row>
    <row r="6976" spans="2:10" ht="15.95" customHeight="1" x14ac:dyDescent="0.25">
      <c r="C6976" s="122"/>
      <c r="D6976" s="117" t="s">
        <v>1480</v>
      </c>
      <c r="E6976" s="118"/>
      <c r="F6976" s="123" t="s">
        <v>636</v>
      </c>
      <c r="G6976" s="242">
        <v>0.372</v>
      </c>
      <c r="H6976" s="144">
        <f>VLOOKUP(D6976,Bahan,6,FALSE)</f>
        <v>55000</v>
      </c>
      <c r="I6976" s="126">
        <f>G6976*H6976</f>
        <v>20460</v>
      </c>
    </row>
    <row r="6977" spans="2:10" ht="15.95" customHeight="1" thickBot="1" x14ac:dyDescent="0.3">
      <c r="C6977" s="122"/>
      <c r="D6977" s="117" t="s">
        <v>1471</v>
      </c>
      <c r="E6977" s="118"/>
      <c r="F6977" s="123" t="s">
        <v>399</v>
      </c>
      <c r="G6977" s="242">
        <v>2</v>
      </c>
      <c r="H6977" s="144">
        <f>VLOOKUP(D6977,Bahan,6,FALSE)</f>
        <v>8260</v>
      </c>
      <c r="I6977" s="126">
        <f>G6977*H6977</f>
        <v>16520</v>
      </c>
    </row>
    <row r="6978" spans="2:10" ht="15.95" customHeight="1" thickBot="1" x14ac:dyDescent="0.3">
      <c r="C6978" s="132"/>
      <c r="D6978" s="133"/>
      <c r="E6978" s="134"/>
      <c r="F6978" s="134"/>
      <c r="G6978" s="135" t="s">
        <v>386</v>
      </c>
      <c r="H6978" s="136"/>
      <c r="I6978" s="137">
        <f>SUM(I6975:I6977)</f>
        <v>43595</v>
      </c>
    </row>
    <row r="6979" spans="2:10" ht="15.95" customHeight="1" thickBot="1" x14ac:dyDescent="0.3">
      <c r="C6979" s="116" t="s">
        <v>387</v>
      </c>
      <c r="D6979" s="117" t="s">
        <v>388</v>
      </c>
      <c r="E6979" s="118"/>
      <c r="F6979" s="118"/>
      <c r="G6979" s="165"/>
      <c r="H6979" s="144">
        <f>IF(AND(D6979&lt;&gt;"",F6979&lt;&gt;""),IF(C6979="",IF(F6979="OH",VLOOKUP(D6979,[1]UPAH!$B$3:$G$32,7,0),VLOOKUP(D6979,[1]BAHAN!$A$2:$D$3,4,0)),0),0)</f>
        <v>0</v>
      </c>
      <c r="I6979" s="126">
        <f>G6979*H6979</f>
        <v>0</v>
      </c>
    </row>
    <row r="6980" spans="2:10" ht="15.95" customHeight="1" thickBot="1" x14ac:dyDescent="0.3">
      <c r="C6980" s="132"/>
      <c r="D6980" s="133"/>
      <c r="E6980" s="134"/>
      <c r="F6980" s="134"/>
      <c r="G6980" s="135" t="s">
        <v>389</v>
      </c>
      <c r="H6980" s="136"/>
      <c r="I6980" s="137">
        <f>I6979</f>
        <v>0</v>
      </c>
    </row>
    <row r="6981" spans="2:10" ht="15.95" customHeight="1" x14ac:dyDescent="0.25">
      <c r="C6981" s="158" t="s">
        <v>390</v>
      </c>
      <c r="D6981" s="159" t="s">
        <v>391</v>
      </c>
      <c r="E6981" s="160"/>
      <c r="F6981" s="160"/>
      <c r="G6981" s="161"/>
      <c r="H6981" s="162">
        <f>IF(AND(D6981&lt;&gt;"",F6981&lt;&gt;""),IF(C6981="",IF(F6981="OH",VLOOKUP(D6981,[1]UPAH!$B$3:$G$32,7,0),VLOOKUP(D6981,[1]BAHAN!$A$2:$D$3,4,0)),0),0)</f>
        <v>0</v>
      </c>
      <c r="I6981" s="126">
        <f>SUM(I6968:I6980)/2</f>
        <v>60745</v>
      </c>
    </row>
    <row r="6982" spans="2:10" ht="15.95" customHeight="1" thickBot="1" x14ac:dyDescent="0.3">
      <c r="C6982" s="147" t="s">
        <v>392</v>
      </c>
      <c r="D6982" s="148" t="s">
        <v>393</v>
      </c>
      <c r="E6982" s="149"/>
      <c r="F6982" s="149"/>
      <c r="G6982" s="164">
        <v>0.1</v>
      </c>
      <c r="H6982" s="151"/>
      <c r="I6982" s="146">
        <f>G6982*I6981</f>
        <v>6074.5</v>
      </c>
    </row>
    <row r="6983" spans="2:10" ht="15.95" customHeight="1" thickBot="1" x14ac:dyDescent="0.3">
      <c r="C6983" s="111" t="s">
        <v>394</v>
      </c>
      <c r="D6983" s="112" t="s">
        <v>395</v>
      </c>
      <c r="E6983" s="134"/>
      <c r="F6983" s="134"/>
      <c r="G6983" s="156"/>
      <c r="H6983" s="136">
        <f>IF(AND(D6983&lt;&gt;"",F6983&lt;&gt;""),IF(C6983="",IF(F6983="OH",VLOOKUP(D6983,[1]UPAH!$B$3:$G$32,7,0),VLOOKUP(D6983,[1]BAHAN!$A$2:$D$3,4,0)),0),0)</f>
        <v>0</v>
      </c>
      <c r="I6983" s="137">
        <f>ROUNDDOWN(I6981+I6982,0)</f>
        <v>66819</v>
      </c>
    </row>
    <row r="6984" spans="2:10" ht="15.95" customHeight="1" x14ac:dyDescent="0.25">
      <c r="C6984" s="109"/>
      <c r="D6984" s="109"/>
      <c r="G6984" s="157"/>
    </row>
    <row r="6985" spans="2:10" ht="15.95" customHeight="1" thickBot="1" x14ac:dyDescent="0.3">
      <c r="B6985" s="109" t="s">
        <v>1481</v>
      </c>
      <c r="C6985" s="104" t="s">
        <v>1482</v>
      </c>
      <c r="G6985" s="157"/>
      <c r="J6985" s="110">
        <f>I6998</f>
        <v>18864</v>
      </c>
    </row>
    <row r="6986" spans="2:10" ht="15.95" customHeight="1" thickBot="1" x14ac:dyDescent="0.3">
      <c r="C6986" s="111" t="s">
        <v>328</v>
      </c>
      <c r="D6986" s="112" t="s">
        <v>359</v>
      </c>
      <c r="E6986" s="113" t="s">
        <v>360</v>
      </c>
      <c r="F6986" s="113" t="s">
        <v>330</v>
      </c>
      <c r="G6986" s="114" t="s">
        <v>361</v>
      </c>
      <c r="H6986" s="112" t="s">
        <v>362</v>
      </c>
      <c r="I6986" s="115" t="s">
        <v>363</v>
      </c>
    </row>
    <row r="6987" spans="2:10" ht="15.95" customHeight="1" x14ac:dyDescent="0.25">
      <c r="C6987" s="116" t="s">
        <v>364</v>
      </c>
      <c r="D6987" s="117" t="s">
        <v>365</v>
      </c>
      <c r="E6987" s="118"/>
      <c r="F6987" s="118"/>
      <c r="G6987" s="165"/>
      <c r="H6987" s="144"/>
      <c r="I6987" s="126"/>
    </row>
    <row r="6988" spans="2:10" ht="15.95" customHeight="1" x14ac:dyDescent="0.25">
      <c r="C6988" s="122"/>
      <c r="D6988" s="117" t="s">
        <v>366</v>
      </c>
      <c r="E6988" s="123" t="s">
        <v>367</v>
      </c>
      <c r="F6988" s="123" t="s">
        <v>368</v>
      </c>
      <c r="G6988" s="242">
        <v>0.1</v>
      </c>
      <c r="H6988" s="125">
        <f>VLOOKUP(D6988,Upah,8,FALSE)</f>
        <v>125000</v>
      </c>
      <c r="I6988" s="126">
        <f>G6988*H6988</f>
        <v>12500</v>
      </c>
    </row>
    <row r="6989" spans="2:10" ht="15.95" customHeight="1" thickBot="1" x14ac:dyDescent="0.3">
      <c r="C6989" s="122"/>
      <c r="D6989" s="117" t="s">
        <v>373</v>
      </c>
      <c r="E6989" s="123" t="s">
        <v>374</v>
      </c>
      <c r="F6989" s="123" t="s">
        <v>368</v>
      </c>
      <c r="G6989" s="242">
        <v>6.0000000000000001E-3</v>
      </c>
      <c r="H6989" s="125">
        <f>VLOOKUP(D6989,Upah,8,FALSE)</f>
        <v>170000</v>
      </c>
      <c r="I6989" s="126">
        <f>G6989*H6989</f>
        <v>1020</v>
      </c>
    </row>
    <row r="6990" spans="2:10" ht="15.95" customHeight="1" thickBot="1" x14ac:dyDescent="0.3">
      <c r="C6990" s="132"/>
      <c r="D6990" s="133"/>
      <c r="E6990" s="134"/>
      <c r="F6990" s="134"/>
      <c r="G6990" s="135" t="s">
        <v>375</v>
      </c>
      <c r="H6990" s="136"/>
      <c r="I6990" s="137">
        <f>SUM(I6986:I6989)</f>
        <v>13520</v>
      </c>
    </row>
    <row r="6991" spans="2:10" ht="15.95" customHeight="1" x14ac:dyDescent="0.25">
      <c r="C6991" s="116" t="s">
        <v>376</v>
      </c>
      <c r="D6991" s="117" t="s">
        <v>377</v>
      </c>
      <c r="E6991" s="118"/>
      <c r="F6991" s="118"/>
      <c r="G6991" s="165"/>
      <c r="H6991" s="144"/>
      <c r="I6991" s="126"/>
    </row>
    <row r="6992" spans="2:10" ht="15.95" customHeight="1" thickBot="1" x14ac:dyDescent="0.3">
      <c r="C6992" s="122"/>
      <c r="D6992" s="117" t="s">
        <v>1483</v>
      </c>
      <c r="E6992" s="118"/>
      <c r="F6992" s="123" t="s">
        <v>636</v>
      </c>
      <c r="G6992" s="242">
        <v>0.35</v>
      </c>
      <c r="H6992" s="144">
        <f>VLOOKUP(D6992,Bahan,6,FALSE)</f>
        <v>10370</v>
      </c>
      <c r="I6992" s="126">
        <f>G6992*H6992</f>
        <v>3629.4999999999995</v>
      </c>
    </row>
    <row r="6993" spans="2:10" ht="15.95" customHeight="1" thickBot="1" x14ac:dyDescent="0.3">
      <c r="C6993" s="132"/>
      <c r="D6993" s="133"/>
      <c r="E6993" s="134"/>
      <c r="F6993" s="134"/>
      <c r="G6993" s="135" t="s">
        <v>386</v>
      </c>
      <c r="H6993" s="136"/>
      <c r="I6993" s="137">
        <f>SUM(I6992)</f>
        <v>3629.4999999999995</v>
      </c>
    </row>
    <row r="6994" spans="2:10" ht="15.95" customHeight="1" thickBot="1" x14ac:dyDescent="0.3">
      <c r="C6994" s="116" t="s">
        <v>387</v>
      </c>
      <c r="D6994" s="117" t="s">
        <v>388</v>
      </c>
      <c r="E6994" s="118"/>
      <c r="F6994" s="118"/>
      <c r="G6994" s="165"/>
      <c r="H6994" s="144">
        <f>IF(AND(D6994&lt;&gt;"",F6994&lt;&gt;""),IF(C6994="",IF(F6994="OH",VLOOKUP(D6994,[1]UPAH!$B$3:$G$32,7,0),VLOOKUP(D6994,[1]BAHAN!$A$2:$D$3,4,0)),0),0)</f>
        <v>0</v>
      </c>
      <c r="I6994" s="126">
        <f>G6994*H6994</f>
        <v>0</v>
      </c>
    </row>
    <row r="6995" spans="2:10" ht="15.95" customHeight="1" thickBot="1" x14ac:dyDescent="0.3">
      <c r="C6995" s="132"/>
      <c r="D6995" s="133"/>
      <c r="E6995" s="134"/>
      <c r="F6995" s="134"/>
      <c r="G6995" s="135" t="s">
        <v>389</v>
      </c>
      <c r="H6995" s="136"/>
      <c r="I6995" s="137">
        <f>I6994</f>
        <v>0</v>
      </c>
    </row>
    <row r="6996" spans="2:10" ht="15.95" customHeight="1" x14ac:dyDescent="0.25">
      <c r="C6996" s="158" t="s">
        <v>390</v>
      </c>
      <c r="D6996" s="159" t="s">
        <v>391</v>
      </c>
      <c r="E6996" s="160"/>
      <c r="F6996" s="160"/>
      <c r="G6996" s="161"/>
      <c r="H6996" s="162">
        <f>IF(AND(D6996&lt;&gt;"",F6996&lt;&gt;""),IF(C6996="",IF(F6996="OH",VLOOKUP(D6996,[1]UPAH!$B$3:$G$32,7,0),VLOOKUP(D6996,[1]BAHAN!$A$2:$D$3,4,0)),0),0)</f>
        <v>0</v>
      </c>
      <c r="I6996" s="126">
        <f>SUM(I6985:I6995)/2</f>
        <v>17149.5</v>
      </c>
    </row>
    <row r="6997" spans="2:10" ht="15.95" customHeight="1" thickBot="1" x14ac:dyDescent="0.3">
      <c r="C6997" s="147" t="s">
        <v>392</v>
      </c>
      <c r="D6997" s="148" t="s">
        <v>393</v>
      </c>
      <c r="E6997" s="149"/>
      <c r="F6997" s="149"/>
      <c r="G6997" s="164">
        <v>0.1</v>
      </c>
      <c r="H6997" s="151"/>
      <c r="I6997" s="146">
        <f>G6997*I6996</f>
        <v>1714.95</v>
      </c>
    </row>
    <row r="6998" spans="2:10" ht="15.95" customHeight="1" thickBot="1" x14ac:dyDescent="0.3">
      <c r="C6998" s="111" t="s">
        <v>394</v>
      </c>
      <c r="D6998" s="112" t="s">
        <v>395</v>
      </c>
      <c r="E6998" s="134"/>
      <c r="F6998" s="134"/>
      <c r="G6998" s="156"/>
      <c r="H6998" s="136">
        <f>IF(AND(D6998&lt;&gt;"",F6998&lt;&gt;""),IF(C6998="",IF(F6998="OH",VLOOKUP(D6998,[1]UPAH!$B$3:$G$32,7,0),VLOOKUP(D6998,[1]BAHAN!$A$2:$D$3,4,0)),0),0)</f>
        <v>0</v>
      </c>
      <c r="I6998" s="137">
        <f>ROUNDDOWN(I6996+I6997,0)</f>
        <v>18864</v>
      </c>
    </row>
    <row r="6999" spans="2:10" ht="15.95" customHeight="1" x14ac:dyDescent="0.25">
      <c r="C6999" s="109"/>
      <c r="D6999" s="109"/>
      <c r="G6999" s="157"/>
    </row>
    <row r="7000" spans="2:10" ht="15.95" customHeight="1" thickBot="1" x14ac:dyDescent="0.3">
      <c r="B7000" s="109" t="s">
        <v>1484</v>
      </c>
      <c r="C7000" s="104" t="s">
        <v>1485</v>
      </c>
      <c r="G7000" s="157"/>
      <c r="J7000" s="110">
        <f>I7017</f>
        <v>79475</v>
      </c>
    </row>
    <row r="7001" spans="2:10" ht="15.95" customHeight="1" thickBot="1" x14ac:dyDescent="0.3">
      <c r="C7001" s="111" t="s">
        <v>328</v>
      </c>
      <c r="D7001" s="112" t="s">
        <v>359</v>
      </c>
      <c r="E7001" s="113" t="s">
        <v>360</v>
      </c>
      <c r="F7001" s="113" t="s">
        <v>330</v>
      </c>
      <c r="G7001" s="114" t="s">
        <v>361</v>
      </c>
      <c r="H7001" s="112" t="s">
        <v>362</v>
      </c>
      <c r="I7001" s="115" t="s">
        <v>363</v>
      </c>
    </row>
    <row r="7002" spans="2:10" ht="15.95" customHeight="1" x14ac:dyDescent="0.25">
      <c r="C7002" s="116" t="s">
        <v>364</v>
      </c>
      <c r="D7002" s="117" t="s">
        <v>365</v>
      </c>
      <c r="E7002" s="118"/>
      <c r="F7002" s="118"/>
      <c r="G7002" s="165"/>
      <c r="H7002" s="144"/>
      <c r="I7002" s="126"/>
    </row>
    <row r="7003" spans="2:10" ht="15.95" customHeight="1" x14ac:dyDescent="0.25">
      <c r="C7003" s="122"/>
      <c r="D7003" s="117" t="s">
        <v>366</v>
      </c>
      <c r="E7003" s="123" t="s">
        <v>367</v>
      </c>
      <c r="F7003" s="123" t="s">
        <v>368</v>
      </c>
      <c r="G7003" s="242">
        <v>0.16</v>
      </c>
      <c r="H7003" s="125">
        <f>VLOOKUP(D7003,Upah,8,FALSE)</f>
        <v>125000</v>
      </c>
      <c r="I7003" s="126">
        <f>G7003*H7003</f>
        <v>20000</v>
      </c>
    </row>
    <row r="7004" spans="2:10" ht="15.95" customHeight="1" x14ac:dyDescent="0.25">
      <c r="C7004" s="122"/>
      <c r="D7004" s="117" t="s">
        <v>1463</v>
      </c>
      <c r="E7004" s="123" t="s">
        <v>1464</v>
      </c>
      <c r="F7004" s="123" t="s">
        <v>368</v>
      </c>
      <c r="G7004" s="242">
        <v>0.16</v>
      </c>
      <c r="H7004" s="125">
        <f>VLOOKUP(D7004,Upah,8,FALSE)</f>
        <v>150000</v>
      </c>
      <c r="I7004" s="126">
        <f>G7004*H7004</f>
        <v>24000</v>
      </c>
    </row>
    <row r="7005" spans="2:10" ht="15.95" customHeight="1" x14ac:dyDescent="0.25">
      <c r="C7005" s="122"/>
      <c r="D7005" s="117" t="s">
        <v>429</v>
      </c>
      <c r="E7005" s="123" t="s">
        <v>372</v>
      </c>
      <c r="F7005" s="123" t="s">
        <v>368</v>
      </c>
      <c r="G7005" s="242">
        <v>1.6E-2</v>
      </c>
      <c r="H7005" s="125">
        <f>VLOOKUP(D7005,Upah,8,FALSE)</f>
        <v>165000</v>
      </c>
      <c r="I7005" s="126">
        <f>G7005*H7005</f>
        <v>2640</v>
      </c>
    </row>
    <row r="7006" spans="2:10" ht="15.95" customHeight="1" thickBot="1" x14ac:dyDescent="0.3">
      <c r="C7006" s="122"/>
      <c r="D7006" s="117" t="s">
        <v>373</v>
      </c>
      <c r="E7006" s="123" t="s">
        <v>374</v>
      </c>
      <c r="F7006" s="123" t="s">
        <v>368</v>
      </c>
      <c r="G7006" s="242">
        <v>3.0000000000000001E-3</v>
      </c>
      <c r="H7006" s="125">
        <f>VLOOKUP(D7006,Upah,8,FALSE)</f>
        <v>170000</v>
      </c>
      <c r="I7006" s="126">
        <f>G7006*H7006</f>
        <v>510</v>
      </c>
    </row>
    <row r="7007" spans="2:10" ht="15.95" customHeight="1" thickBot="1" x14ac:dyDescent="0.3">
      <c r="C7007" s="132"/>
      <c r="D7007" s="133"/>
      <c r="E7007" s="134"/>
      <c r="F7007" s="134"/>
      <c r="G7007" s="135" t="s">
        <v>375</v>
      </c>
      <c r="H7007" s="136"/>
      <c r="I7007" s="137">
        <f>SUM(I7003:I7006)</f>
        <v>47150</v>
      </c>
    </row>
    <row r="7008" spans="2:10" ht="15.95" customHeight="1" x14ac:dyDescent="0.25">
      <c r="C7008" s="116" t="s">
        <v>376</v>
      </c>
      <c r="D7008" s="117" t="s">
        <v>377</v>
      </c>
      <c r="E7008" s="118"/>
      <c r="F7008" s="118"/>
      <c r="G7008" s="165"/>
      <c r="H7008" s="144"/>
      <c r="I7008" s="126"/>
    </row>
    <row r="7009" spans="2:10" ht="15.95" customHeight="1" x14ac:dyDescent="0.25">
      <c r="C7009" s="122"/>
      <c r="D7009" s="117" t="s">
        <v>1486</v>
      </c>
      <c r="E7009" s="118"/>
      <c r="F7009" s="123" t="s">
        <v>636</v>
      </c>
      <c r="G7009" s="242">
        <v>0.15</v>
      </c>
      <c r="H7009" s="144">
        <f>VLOOKUP(D7009,Bahan,6,FALSE)</f>
        <v>146050</v>
      </c>
      <c r="I7009" s="126">
        <f>G7009*H7009</f>
        <v>21907.5</v>
      </c>
    </row>
    <row r="7010" spans="2:10" ht="15.95" customHeight="1" x14ac:dyDescent="0.25">
      <c r="C7010" s="122"/>
      <c r="D7010" s="117" t="s">
        <v>1487</v>
      </c>
      <c r="E7010" s="118"/>
      <c r="F7010" s="123" t="s">
        <v>159</v>
      </c>
      <c r="G7010" s="242">
        <v>0.05</v>
      </c>
      <c r="H7010" s="144">
        <f>VLOOKUP(D7010,Bahan,6,FALSE)</f>
        <v>47340</v>
      </c>
      <c r="I7010" s="126">
        <f>G7010*H7010</f>
        <v>2367</v>
      </c>
    </row>
    <row r="7011" spans="2:10" ht="15.95" customHeight="1" thickBot="1" x14ac:dyDescent="0.3">
      <c r="C7011" s="122"/>
      <c r="D7011" s="117" t="s">
        <v>1471</v>
      </c>
      <c r="E7011" s="118"/>
      <c r="F7011" s="123" t="s">
        <v>399</v>
      </c>
      <c r="G7011" s="242">
        <v>0.1</v>
      </c>
      <c r="H7011" s="144">
        <f>VLOOKUP(D7011,Bahan,6,FALSE)</f>
        <v>8260</v>
      </c>
      <c r="I7011" s="126">
        <f>G7011*H7011</f>
        <v>826</v>
      </c>
    </row>
    <row r="7012" spans="2:10" ht="15.95" customHeight="1" thickBot="1" x14ac:dyDescent="0.3">
      <c r="C7012" s="132"/>
      <c r="D7012" s="133"/>
      <c r="E7012" s="134"/>
      <c r="F7012" s="134"/>
      <c r="G7012" s="135" t="s">
        <v>386</v>
      </c>
      <c r="H7012" s="136"/>
      <c r="I7012" s="137">
        <f>SUM(I7009:I7011)</f>
        <v>25100.5</v>
      </c>
    </row>
    <row r="7013" spans="2:10" ht="15.95" customHeight="1" thickBot="1" x14ac:dyDescent="0.3">
      <c r="C7013" s="116" t="s">
        <v>387</v>
      </c>
      <c r="D7013" s="117" t="s">
        <v>388</v>
      </c>
      <c r="E7013" s="118"/>
      <c r="F7013" s="118"/>
      <c r="G7013" s="165"/>
      <c r="H7013" s="144">
        <f>IF(AND(D7013&lt;&gt;"",F7013&lt;&gt;""),IF(C7013="",IF(F7013="OH",VLOOKUP(D7013,[1]UPAH!$B$3:$G$32,7,0),VLOOKUP(D7013,[1]BAHAN!$A$2:$D$3,4,0)),0),0)</f>
        <v>0</v>
      </c>
      <c r="I7013" s="126">
        <f>G7013*H7013</f>
        <v>0</v>
      </c>
    </row>
    <row r="7014" spans="2:10" ht="15.95" customHeight="1" thickBot="1" x14ac:dyDescent="0.3">
      <c r="C7014" s="132"/>
      <c r="D7014" s="133"/>
      <c r="E7014" s="134"/>
      <c r="F7014" s="134"/>
      <c r="G7014" s="135" t="s">
        <v>389</v>
      </c>
      <c r="H7014" s="136"/>
      <c r="I7014" s="137">
        <f>I7013</f>
        <v>0</v>
      </c>
    </row>
    <row r="7015" spans="2:10" ht="15.95" customHeight="1" x14ac:dyDescent="0.25">
      <c r="C7015" s="158" t="s">
        <v>390</v>
      </c>
      <c r="D7015" s="159" t="s">
        <v>391</v>
      </c>
      <c r="E7015" s="160"/>
      <c r="F7015" s="160"/>
      <c r="G7015" s="161"/>
      <c r="H7015" s="162">
        <f>IF(AND(D7015&lt;&gt;"",F7015&lt;&gt;""),IF(C7015="",IF(F7015="OH",VLOOKUP(D7015,[1]UPAH!$B$3:$G$32,7,0),VLOOKUP(D7015,[1]BAHAN!$A$2:$D$3,4,0)),0),0)</f>
        <v>0</v>
      </c>
      <c r="I7015" s="126">
        <f>SUM(I7003:I7014)/2</f>
        <v>72250.5</v>
      </c>
    </row>
    <row r="7016" spans="2:10" ht="15.95" customHeight="1" thickBot="1" x14ac:dyDescent="0.3">
      <c r="C7016" s="147" t="s">
        <v>392</v>
      </c>
      <c r="D7016" s="148" t="s">
        <v>393</v>
      </c>
      <c r="E7016" s="149"/>
      <c r="F7016" s="149"/>
      <c r="G7016" s="164">
        <v>0.1</v>
      </c>
      <c r="H7016" s="151"/>
      <c r="I7016" s="146">
        <f>G7016*I7015</f>
        <v>7225.05</v>
      </c>
    </row>
    <row r="7017" spans="2:10" ht="15.95" customHeight="1" thickBot="1" x14ac:dyDescent="0.3">
      <c r="C7017" s="111" t="s">
        <v>394</v>
      </c>
      <c r="D7017" s="112" t="s">
        <v>395</v>
      </c>
      <c r="E7017" s="134"/>
      <c r="F7017" s="134"/>
      <c r="G7017" s="156"/>
      <c r="H7017" s="136">
        <f>IF(AND(D7017&lt;&gt;"",F7017&lt;&gt;""),IF(C7017="",IF(F7017="OH",VLOOKUP(D7017,[1]UPAH!$B$3:$G$32,7,0),VLOOKUP(D7017,[1]BAHAN!$A$2:$D$3,4,0)),0),0)</f>
        <v>0</v>
      </c>
      <c r="I7017" s="137">
        <f>ROUNDDOWN(I7015+I7016,0)</f>
        <v>79475</v>
      </c>
    </row>
    <row r="7018" spans="2:10" ht="15.95" customHeight="1" x14ac:dyDescent="0.25">
      <c r="C7018" s="109"/>
      <c r="D7018" s="109"/>
      <c r="G7018" s="157"/>
    </row>
    <row r="7019" spans="2:10" ht="15.95" customHeight="1" thickBot="1" x14ac:dyDescent="0.3">
      <c r="B7019" s="247" t="s">
        <v>1488</v>
      </c>
      <c r="C7019" s="104" t="s">
        <v>1489</v>
      </c>
      <c r="G7019" s="157"/>
      <c r="J7019" s="110">
        <f>I7036</f>
        <v>37532</v>
      </c>
    </row>
    <row r="7020" spans="2:10" ht="15.95" customHeight="1" thickBot="1" x14ac:dyDescent="0.3">
      <c r="C7020" s="111" t="s">
        <v>328</v>
      </c>
      <c r="D7020" s="112" t="s">
        <v>359</v>
      </c>
      <c r="E7020" s="113" t="s">
        <v>360</v>
      </c>
      <c r="F7020" s="113" t="s">
        <v>330</v>
      </c>
      <c r="G7020" s="114" t="s">
        <v>361</v>
      </c>
      <c r="H7020" s="112" t="s">
        <v>362</v>
      </c>
      <c r="I7020" s="115" t="s">
        <v>363</v>
      </c>
    </row>
    <row r="7021" spans="2:10" ht="15.95" customHeight="1" x14ac:dyDescent="0.25">
      <c r="C7021" s="116" t="s">
        <v>364</v>
      </c>
      <c r="D7021" s="117" t="s">
        <v>365</v>
      </c>
      <c r="E7021" s="118"/>
      <c r="F7021" s="118"/>
      <c r="G7021" s="165"/>
      <c r="H7021" s="144"/>
      <c r="I7021" s="126"/>
    </row>
    <row r="7022" spans="2:10" ht="15.95" customHeight="1" x14ac:dyDescent="0.25">
      <c r="C7022" s="122"/>
      <c r="D7022" s="117" t="s">
        <v>366</v>
      </c>
      <c r="E7022" s="123" t="s">
        <v>367</v>
      </c>
      <c r="F7022" s="123" t="s">
        <v>368</v>
      </c>
      <c r="G7022" s="242">
        <v>0.02</v>
      </c>
      <c r="H7022" s="125">
        <f>VLOOKUP(D7022,Upah,8,FALSE)</f>
        <v>125000</v>
      </c>
      <c r="I7022" s="126">
        <f>G7022*H7022</f>
        <v>2500</v>
      </c>
    </row>
    <row r="7023" spans="2:10" ht="15.95" customHeight="1" x14ac:dyDescent="0.25">
      <c r="C7023" s="122"/>
      <c r="D7023" s="117" t="s">
        <v>1463</v>
      </c>
      <c r="E7023" s="123" t="s">
        <v>1464</v>
      </c>
      <c r="F7023" s="123" t="s">
        <v>368</v>
      </c>
      <c r="G7023" s="242">
        <v>6.3E-2</v>
      </c>
      <c r="H7023" s="125">
        <f>VLOOKUP(D7023,Upah,8,FALSE)</f>
        <v>150000</v>
      </c>
      <c r="I7023" s="126">
        <f>G7023*H7023</f>
        <v>9450</v>
      </c>
    </row>
    <row r="7024" spans="2:10" ht="15.95" customHeight="1" x14ac:dyDescent="0.25">
      <c r="C7024" s="122"/>
      <c r="D7024" s="117" t="s">
        <v>429</v>
      </c>
      <c r="E7024" s="123" t="s">
        <v>372</v>
      </c>
      <c r="F7024" s="123" t="s">
        <v>368</v>
      </c>
      <c r="G7024" s="242">
        <v>6.3E-3</v>
      </c>
      <c r="H7024" s="125">
        <f>VLOOKUP(D7024,Upah,8,FALSE)</f>
        <v>165000</v>
      </c>
      <c r="I7024" s="126">
        <f>G7024*H7024</f>
        <v>1039.5</v>
      </c>
    </row>
    <row r="7025" spans="2:10" ht="15.95" customHeight="1" thickBot="1" x14ac:dyDescent="0.3">
      <c r="C7025" s="122"/>
      <c r="D7025" s="117" t="s">
        <v>373</v>
      </c>
      <c r="E7025" s="123" t="s">
        <v>374</v>
      </c>
      <c r="F7025" s="123" t="s">
        <v>368</v>
      </c>
      <c r="G7025" s="242">
        <v>3.0000000000000001E-3</v>
      </c>
      <c r="H7025" s="125">
        <f>VLOOKUP(D7025,Upah,8,FALSE)</f>
        <v>170000</v>
      </c>
      <c r="I7025" s="126">
        <f>G7025*H7025</f>
        <v>510</v>
      </c>
    </row>
    <row r="7026" spans="2:10" ht="15.95" customHeight="1" thickBot="1" x14ac:dyDescent="0.3">
      <c r="C7026" s="132"/>
      <c r="D7026" s="133"/>
      <c r="E7026" s="134"/>
      <c r="F7026" s="134"/>
      <c r="G7026" s="135" t="s">
        <v>375</v>
      </c>
      <c r="H7026" s="136"/>
      <c r="I7026" s="137">
        <f>SUM(I7022:I7025)</f>
        <v>13499.5</v>
      </c>
    </row>
    <row r="7027" spans="2:10" ht="15.95" customHeight="1" x14ac:dyDescent="0.25">
      <c r="C7027" s="116" t="s">
        <v>376</v>
      </c>
      <c r="D7027" s="117" t="s">
        <v>377</v>
      </c>
      <c r="E7027" s="118"/>
      <c r="F7027" s="118"/>
      <c r="G7027" s="165"/>
      <c r="H7027" s="144"/>
      <c r="I7027" s="126"/>
    </row>
    <row r="7028" spans="2:10" ht="15.95" customHeight="1" x14ac:dyDescent="0.25">
      <c r="C7028" s="122"/>
      <c r="D7028" s="117" t="s">
        <v>1466</v>
      </c>
      <c r="E7028" s="118"/>
      <c r="F7028" s="123" t="s">
        <v>159</v>
      </c>
      <c r="G7028" s="242">
        <v>0.1</v>
      </c>
      <c r="H7028" s="144">
        <f>VLOOKUP(D7028,Bahan,6,FALSE)</f>
        <v>22000</v>
      </c>
      <c r="I7028" s="126">
        <f>G7028*H7028</f>
        <v>2200</v>
      </c>
    </row>
    <row r="7029" spans="2:10" ht="15.95" customHeight="1" x14ac:dyDescent="0.25">
      <c r="C7029" s="122"/>
      <c r="D7029" s="117" t="s">
        <v>1490</v>
      </c>
      <c r="E7029" s="118"/>
      <c r="F7029" s="123" t="s">
        <v>159</v>
      </c>
      <c r="G7029" s="242">
        <v>0.1</v>
      </c>
      <c r="H7029" s="144">
        <f>VLOOKUP(D7029,Bahan,6,FALSE)</f>
        <v>78650</v>
      </c>
      <c r="I7029" s="126">
        <f>G7029*H7029</f>
        <v>7865</v>
      </c>
    </row>
    <row r="7030" spans="2:10" ht="15.95" customHeight="1" thickBot="1" x14ac:dyDescent="0.3">
      <c r="C7030" s="122"/>
      <c r="D7030" s="117" t="s">
        <v>1491</v>
      </c>
      <c r="E7030" s="118"/>
      <c r="F7030" s="123" t="s">
        <v>159</v>
      </c>
      <c r="G7030" s="242">
        <v>0.26</v>
      </c>
      <c r="H7030" s="144">
        <f>VLOOKUP(D7030,Bahan,6,FALSE)</f>
        <v>40600</v>
      </c>
      <c r="I7030" s="126">
        <f>G7030*H7030</f>
        <v>10556</v>
      </c>
    </row>
    <row r="7031" spans="2:10" ht="15.95" customHeight="1" thickBot="1" x14ac:dyDescent="0.3">
      <c r="C7031" s="132"/>
      <c r="D7031" s="133"/>
      <c r="E7031" s="134"/>
      <c r="F7031" s="134"/>
      <c r="G7031" s="135" t="s">
        <v>386</v>
      </c>
      <c r="H7031" s="136"/>
      <c r="I7031" s="137">
        <f>SUM(I7028:I7030)</f>
        <v>20621</v>
      </c>
    </row>
    <row r="7032" spans="2:10" ht="15.95" customHeight="1" thickBot="1" x14ac:dyDescent="0.3">
      <c r="C7032" s="116" t="s">
        <v>387</v>
      </c>
      <c r="D7032" s="117" t="s">
        <v>388</v>
      </c>
      <c r="E7032" s="118"/>
      <c r="F7032" s="118"/>
      <c r="G7032" s="165"/>
      <c r="H7032" s="144">
        <f>IF(AND(D7032&lt;&gt;"",F7032&lt;&gt;""),IF(C7032="",IF(F7032="OH",VLOOKUP(D7032,[1]UPAH!$B$3:$G$32,7,0),VLOOKUP(D7032,[1]BAHAN!$A$2:$D$3,4,0)),0),0)</f>
        <v>0</v>
      </c>
      <c r="I7032" s="126">
        <f>G7032*H7032</f>
        <v>0</v>
      </c>
    </row>
    <row r="7033" spans="2:10" ht="15.95" customHeight="1" thickBot="1" x14ac:dyDescent="0.3">
      <c r="C7033" s="132"/>
      <c r="D7033" s="133"/>
      <c r="E7033" s="134"/>
      <c r="F7033" s="134"/>
      <c r="G7033" s="135" t="s">
        <v>389</v>
      </c>
      <c r="H7033" s="136"/>
      <c r="I7033" s="137">
        <f>I7032</f>
        <v>0</v>
      </c>
    </row>
    <row r="7034" spans="2:10" ht="15.95" customHeight="1" x14ac:dyDescent="0.25">
      <c r="C7034" s="158" t="s">
        <v>390</v>
      </c>
      <c r="D7034" s="159" t="s">
        <v>391</v>
      </c>
      <c r="E7034" s="160"/>
      <c r="F7034" s="160"/>
      <c r="G7034" s="161"/>
      <c r="H7034" s="162">
        <f>IF(AND(D7034&lt;&gt;"",F7034&lt;&gt;""),IF(C7034="",IF(F7034="OH",VLOOKUP(D7034,[1]UPAH!$B$3:$G$32,7,0),VLOOKUP(D7034,[1]BAHAN!$A$2:$D$3,4,0)),0),0)</f>
        <v>0</v>
      </c>
      <c r="I7034" s="126">
        <f>SUM(I7022:I7033)/2</f>
        <v>34120.5</v>
      </c>
    </row>
    <row r="7035" spans="2:10" ht="15.95" customHeight="1" thickBot="1" x14ac:dyDescent="0.3">
      <c r="C7035" s="147" t="s">
        <v>392</v>
      </c>
      <c r="D7035" s="148" t="s">
        <v>393</v>
      </c>
      <c r="E7035" s="149"/>
      <c r="F7035" s="149"/>
      <c r="G7035" s="164">
        <v>0.1</v>
      </c>
      <c r="H7035" s="151"/>
      <c r="I7035" s="146">
        <f>G7035*I7034</f>
        <v>3412.05</v>
      </c>
    </row>
    <row r="7036" spans="2:10" ht="15.95" customHeight="1" thickBot="1" x14ac:dyDescent="0.3">
      <c r="C7036" s="111" t="s">
        <v>394</v>
      </c>
      <c r="D7036" s="112" t="s">
        <v>395</v>
      </c>
      <c r="E7036" s="134"/>
      <c r="F7036" s="134"/>
      <c r="G7036" s="156"/>
      <c r="H7036" s="136">
        <f>IF(AND(D7036&lt;&gt;"",F7036&lt;&gt;""),IF(C7036="",IF(F7036="OH",VLOOKUP(D7036,[1]UPAH!$B$3:$G$32,7,0),VLOOKUP(D7036,[1]BAHAN!$A$2:$D$3,4,0)),0),0)</f>
        <v>0</v>
      </c>
      <c r="I7036" s="137">
        <f>ROUNDDOWN(I7034+I7035,0)</f>
        <v>37532</v>
      </c>
    </row>
    <row r="7037" spans="2:10" ht="15.95" customHeight="1" x14ac:dyDescent="0.25">
      <c r="C7037" s="109"/>
      <c r="D7037" s="109"/>
      <c r="G7037" s="157"/>
    </row>
    <row r="7038" spans="2:10" ht="15.95" customHeight="1" thickBot="1" x14ac:dyDescent="0.3">
      <c r="B7038" s="109" t="s">
        <v>1492</v>
      </c>
      <c r="C7038" s="104" t="s">
        <v>1493</v>
      </c>
      <c r="G7038" s="157"/>
      <c r="J7038" s="110">
        <f>I7054</f>
        <v>30523</v>
      </c>
    </row>
    <row r="7039" spans="2:10" ht="15.95" customHeight="1" thickBot="1" x14ac:dyDescent="0.3">
      <c r="C7039" s="111" t="s">
        <v>328</v>
      </c>
      <c r="D7039" s="112" t="s">
        <v>359</v>
      </c>
      <c r="E7039" s="113" t="s">
        <v>360</v>
      </c>
      <c r="F7039" s="113" t="s">
        <v>330</v>
      </c>
      <c r="G7039" s="114" t="s">
        <v>361</v>
      </c>
      <c r="H7039" s="112" t="s">
        <v>362</v>
      </c>
      <c r="I7039" s="115" t="s">
        <v>363</v>
      </c>
    </row>
    <row r="7040" spans="2:10" ht="15.95" customHeight="1" x14ac:dyDescent="0.25">
      <c r="C7040" s="116" t="s">
        <v>364</v>
      </c>
      <c r="D7040" s="117" t="s">
        <v>365</v>
      </c>
      <c r="E7040" s="118"/>
      <c r="F7040" s="118"/>
      <c r="G7040" s="165"/>
      <c r="H7040" s="144"/>
      <c r="I7040" s="126"/>
    </row>
    <row r="7041" spans="2:10" ht="15.95" customHeight="1" x14ac:dyDescent="0.25">
      <c r="C7041" s="122"/>
      <c r="D7041" s="117" t="s">
        <v>366</v>
      </c>
      <c r="E7041" s="123" t="s">
        <v>367</v>
      </c>
      <c r="F7041" s="123" t="s">
        <v>368</v>
      </c>
      <c r="G7041" s="242">
        <v>2.8000000000000001E-2</v>
      </c>
      <c r="H7041" s="125">
        <f>VLOOKUP(D7041,Upah,8,FALSE)</f>
        <v>125000</v>
      </c>
      <c r="I7041" s="126">
        <f>G7041*H7041</f>
        <v>3500</v>
      </c>
    </row>
    <row r="7042" spans="2:10" ht="15.95" customHeight="1" x14ac:dyDescent="0.25">
      <c r="C7042" s="122"/>
      <c r="D7042" s="117" t="s">
        <v>1463</v>
      </c>
      <c r="E7042" s="123" t="s">
        <v>1464</v>
      </c>
      <c r="F7042" s="123" t="s">
        <v>368</v>
      </c>
      <c r="G7042" s="242">
        <v>4.2000000000000003E-2</v>
      </c>
      <c r="H7042" s="125">
        <f>VLOOKUP(D7042,Upah,8,FALSE)</f>
        <v>150000</v>
      </c>
      <c r="I7042" s="126">
        <f>G7042*H7042</f>
        <v>6300</v>
      </c>
    </row>
    <row r="7043" spans="2:10" ht="15.95" customHeight="1" x14ac:dyDescent="0.25">
      <c r="C7043" s="122"/>
      <c r="D7043" s="117" t="s">
        <v>429</v>
      </c>
      <c r="E7043" s="123" t="s">
        <v>372</v>
      </c>
      <c r="F7043" s="123" t="s">
        <v>368</v>
      </c>
      <c r="G7043" s="242">
        <v>4.1999999999999997E-3</v>
      </c>
      <c r="H7043" s="125">
        <f>VLOOKUP(D7043,Upah,8,FALSE)</f>
        <v>165000</v>
      </c>
      <c r="I7043" s="126">
        <f>G7043*H7043</f>
        <v>693</v>
      </c>
    </row>
    <row r="7044" spans="2:10" ht="15.95" customHeight="1" thickBot="1" x14ac:dyDescent="0.3">
      <c r="C7044" s="122"/>
      <c r="D7044" s="117" t="s">
        <v>373</v>
      </c>
      <c r="E7044" s="123" t="s">
        <v>374</v>
      </c>
      <c r="F7044" s="123" t="s">
        <v>368</v>
      </c>
      <c r="G7044" s="242">
        <v>3.0000000000000001E-3</v>
      </c>
      <c r="H7044" s="125">
        <f>VLOOKUP(D7044,Upah,8,FALSE)</f>
        <v>170000</v>
      </c>
      <c r="I7044" s="126">
        <f>G7044*H7044</f>
        <v>510</v>
      </c>
    </row>
    <row r="7045" spans="2:10" ht="15.95" customHeight="1" thickBot="1" x14ac:dyDescent="0.3">
      <c r="C7045" s="132"/>
      <c r="D7045" s="133"/>
      <c r="E7045" s="134"/>
      <c r="F7045" s="134"/>
      <c r="G7045" s="135" t="s">
        <v>375</v>
      </c>
      <c r="H7045" s="136"/>
      <c r="I7045" s="137">
        <f>SUM(I7041:I7044)</f>
        <v>11003</v>
      </c>
    </row>
    <row r="7046" spans="2:10" ht="15.95" customHeight="1" x14ac:dyDescent="0.25">
      <c r="C7046" s="116" t="s">
        <v>376</v>
      </c>
      <c r="D7046" s="117" t="s">
        <v>377</v>
      </c>
      <c r="E7046" s="118"/>
      <c r="F7046" s="118"/>
      <c r="G7046" s="165"/>
      <c r="H7046" s="144"/>
      <c r="I7046" s="126"/>
    </row>
    <row r="7047" spans="2:10" ht="15.95" customHeight="1" x14ac:dyDescent="0.25">
      <c r="C7047" s="122"/>
      <c r="D7047" s="117" t="s">
        <v>1490</v>
      </c>
      <c r="E7047" s="118"/>
      <c r="F7047" s="123" t="s">
        <v>159</v>
      </c>
      <c r="G7047" s="242">
        <v>0.12</v>
      </c>
      <c r="H7047" s="144">
        <f>VLOOKUP(D7047,Bahan,6,FALSE)</f>
        <v>78650</v>
      </c>
      <c r="I7047" s="126">
        <f>G7047*H7047</f>
        <v>9438</v>
      </c>
    </row>
    <row r="7048" spans="2:10" ht="15.95" customHeight="1" thickBot="1" x14ac:dyDescent="0.3">
      <c r="C7048" s="122"/>
      <c r="D7048" s="117" t="s">
        <v>1491</v>
      </c>
      <c r="E7048" s="118"/>
      <c r="F7048" s="123" t="s">
        <v>159</v>
      </c>
      <c r="G7048" s="242">
        <v>0.18</v>
      </c>
      <c r="H7048" s="144">
        <f>VLOOKUP(D7048,Bahan,6,FALSE)</f>
        <v>40600</v>
      </c>
      <c r="I7048" s="126">
        <f>G7048*H7048</f>
        <v>7308</v>
      </c>
    </row>
    <row r="7049" spans="2:10" ht="15.95" customHeight="1" thickBot="1" x14ac:dyDescent="0.3">
      <c r="C7049" s="132"/>
      <c r="D7049" s="133"/>
      <c r="E7049" s="134"/>
      <c r="F7049" s="134"/>
      <c r="G7049" s="135" t="s">
        <v>386</v>
      </c>
      <c r="H7049" s="136"/>
      <c r="I7049" s="137">
        <f>SUM(I7047:I7048)</f>
        <v>16746</v>
      </c>
    </row>
    <row r="7050" spans="2:10" ht="15.95" customHeight="1" thickBot="1" x14ac:dyDescent="0.3">
      <c r="C7050" s="116" t="s">
        <v>387</v>
      </c>
      <c r="D7050" s="117" t="s">
        <v>388</v>
      </c>
      <c r="E7050" s="118"/>
      <c r="F7050" s="118"/>
      <c r="G7050" s="165"/>
      <c r="H7050" s="144">
        <f>IF(AND(D7050&lt;&gt;"",F7050&lt;&gt;""),IF(C7050="",IF(F7050="OH",VLOOKUP(D7050,[1]UPAH!$B$3:$G$32,7,0),VLOOKUP(D7050,[1]BAHAN!$A$2:$D$3,4,0)),0),0)</f>
        <v>0</v>
      </c>
      <c r="I7050" s="126">
        <f>G7050*H7050</f>
        <v>0</v>
      </c>
    </row>
    <row r="7051" spans="2:10" ht="15.95" customHeight="1" thickBot="1" x14ac:dyDescent="0.3">
      <c r="C7051" s="132"/>
      <c r="D7051" s="133"/>
      <c r="E7051" s="134"/>
      <c r="F7051" s="134"/>
      <c r="G7051" s="135" t="s">
        <v>389</v>
      </c>
      <c r="H7051" s="136"/>
      <c r="I7051" s="137">
        <f>I7050</f>
        <v>0</v>
      </c>
    </row>
    <row r="7052" spans="2:10" ht="15.95" customHeight="1" x14ac:dyDescent="0.25">
      <c r="C7052" s="158" t="s">
        <v>390</v>
      </c>
      <c r="D7052" s="159" t="s">
        <v>391</v>
      </c>
      <c r="E7052" s="160"/>
      <c r="F7052" s="160"/>
      <c r="G7052" s="161"/>
      <c r="H7052" s="162">
        <f>IF(AND(D7052&lt;&gt;"",F7052&lt;&gt;""),IF(C7052="",IF(F7052="OH",VLOOKUP(D7052,[1]UPAH!$B$3:$G$32,7,0),VLOOKUP(D7052,[1]BAHAN!$A$2:$D$3,4,0)),0),0)</f>
        <v>0</v>
      </c>
      <c r="I7052" s="126">
        <f>SUM(I7041:I7051)/2</f>
        <v>27749</v>
      </c>
    </row>
    <row r="7053" spans="2:10" ht="15.95" customHeight="1" thickBot="1" x14ac:dyDescent="0.3">
      <c r="C7053" s="147" t="s">
        <v>392</v>
      </c>
      <c r="D7053" s="148" t="s">
        <v>393</v>
      </c>
      <c r="E7053" s="149"/>
      <c r="F7053" s="149"/>
      <c r="G7053" s="164">
        <v>0.1</v>
      </c>
      <c r="H7053" s="151"/>
      <c r="I7053" s="146">
        <f>G7053*I7052</f>
        <v>2774.9</v>
      </c>
    </row>
    <row r="7054" spans="2:10" ht="15.95" customHeight="1" thickBot="1" x14ac:dyDescent="0.3">
      <c r="C7054" s="111" t="s">
        <v>394</v>
      </c>
      <c r="D7054" s="112" t="s">
        <v>395</v>
      </c>
      <c r="E7054" s="134"/>
      <c r="F7054" s="134"/>
      <c r="G7054" s="156"/>
      <c r="H7054" s="136">
        <f>IF(AND(D7054&lt;&gt;"",F7054&lt;&gt;""),IF(C7054="",IF(F7054="OH",VLOOKUP(D7054,[1]UPAH!$B$3:$G$32,7,0),VLOOKUP(D7054,[1]BAHAN!$A$2:$D$3,4,0)),0),0)</f>
        <v>0</v>
      </c>
      <c r="I7054" s="137">
        <f>ROUNDDOWN(I7052+I7053,0)</f>
        <v>30523</v>
      </c>
    </row>
    <row r="7055" spans="2:10" ht="15.95" customHeight="1" x14ac:dyDescent="0.25">
      <c r="C7055" s="109"/>
      <c r="D7055" s="109"/>
      <c r="G7055" s="157"/>
    </row>
    <row r="7056" spans="2:10" ht="15.95" customHeight="1" thickBot="1" x14ac:dyDescent="0.3">
      <c r="B7056" s="109" t="s">
        <v>1494</v>
      </c>
      <c r="C7056" s="104" t="s">
        <v>1495</v>
      </c>
      <c r="G7056" s="157"/>
      <c r="J7056" s="110">
        <f>I7071</f>
        <v>12750</v>
      </c>
    </row>
    <row r="7057" spans="3:9" ht="15.95" customHeight="1" thickBot="1" x14ac:dyDescent="0.3">
      <c r="C7057" s="111" t="s">
        <v>328</v>
      </c>
      <c r="D7057" s="112" t="s">
        <v>359</v>
      </c>
      <c r="E7057" s="113" t="s">
        <v>360</v>
      </c>
      <c r="F7057" s="113" t="s">
        <v>330</v>
      </c>
      <c r="G7057" s="114" t="s">
        <v>361</v>
      </c>
      <c r="H7057" s="112" t="s">
        <v>362</v>
      </c>
      <c r="I7057" s="115" t="s">
        <v>363</v>
      </c>
    </row>
    <row r="7058" spans="3:9" ht="15.95" customHeight="1" x14ac:dyDescent="0.25">
      <c r="C7058" s="116" t="s">
        <v>364</v>
      </c>
      <c r="D7058" s="117" t="s">
        <v>365</v>
      </c>
      <c r="E7058" s="118"/>
      <c r="F7058" s="118"/>
      <c r="G7058" s="165"/>
      <c r="H7058" s="144"/>
      <c r="I7058" s="126"/>
    </row>
    <row r="7059" spans="3:9" ht="15.95" customHeight="1" x14ac:dyDescent="0.25">
      <c r="C7059" s="122"/>
      <c r="D7059" s="117" t="s">
        <v>366</v>
      </c>
      <c r="E7059" s="123" t="s">
        <v>367</v>
      </c>
      <c r="F7059" s="123" t="s">
        <v>368</v>
      </c>
      <c r="G7059" s="242">
        <v>2.8000000000000001E-2</v>
      </c>
      <c r="H7059" s="125">
        <f>VLOOKUP(D7059,Upah,8,FALSE)</f>
        <v>125000</v>
      </c>
      <c r="I7059" s="126">
        <f>G7059*H7059</f>
        <v>3500</v>
      </c>
    </row>
    <row r="7060" spans="3:9" ht="15.95" customHeight="1" x14ac:dyDescent="0.25">
      <c r="C7060" s="122"/>
      <c r="D7060" s="117" t="s">
        <v>1463</v>
      </c>
      <c r="E7060" s="123" t="s">
        <v>1464</v>
      </c>
      <c r="F7060" s="123" t="s">
        <v>368</v>
      </c>
      <c r="G7060" s="242">
        <v>4.2000000000000003E-2</v>
      </c>
      <c r="H7060" s="125">
        <f>VLOOKUP(D7060,Upah,8,FALSE)</f>
        <v>150000</v>
      </c>
      <c r="I7060" s="126">
        <f>G7060*H7060</f>
        <v>6300</v>
      </c>
    </row>
    <row r="7061" spans="3:9" ht="15.95" customHeight="1" x14ac:dyDescent="0.25">
      <c r="C7061" s="122"/>
      <c r="D7061" s="117" t="s">
        <v>429</v>
      </c>
      <c r="E7061" s="123" t="s">
        <v>372</v>
      </c>
      <c r="F7061" s="123" t="s">
        <v>368</v>
      </c>
      <c r="G7061" s="242">
        <v>4.1999999999999997E-3</v>
      </c>
      <c r="H7061" s="125">
        <f>VLOOKUP(D7061,Upah,8,FALSE)</f>
        <v>165000</v>
      </c>
      <c r="I7061" s="126">
        <f>G7061*H7061</f>
        <v>693</v>
      </c>
    </row>
    <row r="7062" spans="3:9" ht="15.95" customHeight="1" thickBot="1" x14ac:dyDescent="0.3">
      <c r="C7062" s="122"/>
      <c r="D7062" s="117" t="s">
        <v>373</v>
      </c>
      <c r="E7062" s="123" t="s">
        <v>374</v>
      </c>
      <c r="F7062" s="123" t="s">
        <v>368</v>
      </c>
      <c r="G7062" s="242">
        <v>3.0000000000000001E-3</v>
      </c>
      <c r="H7062" s="125">
        <f>VLOOKUP(D7062,Upah,8,FALSE)</f>
        <v>170000</v>
      </c>
      <c r="I7062" s="126">
        <f>G7062*H7062</f>
        <v>510</v>
      </c>
    </row>
    <row r="7063" spans="3:9" ht="15.95" customHeight="1" thickBot="1" x14ac:dyDescent="0.3">
      <c r="C7063" s="132"/>
      <c r="D7063" s="133"/>
      <c r="E7063" s="134"/>
      <c r="F7063" s="134"/>
      <c r="G7063" s="135" t="s">
        <v>375</v>
      </c>
      <c r="H7063" s="136"/>
      <c r="I7063" s="137">
        <f>SUM(I7059:I7062)</f>
        <v>11003</v>
      </c>
    </row>
    <row r="7064" spans="3:9" ht="15.95" customHeight="1" x14ac:dyDescent="0.25">
      <c r="C7064" s="116" t="s">
        <v>376</v>
      </c>
      <c r="D7064" s="117" t="s">
        <v>377</v>
      </c>
      <c r="E7064" s="118"/>
      <c r="F7064" s="118"/>
      <c r="G7064" s="165"/>
      <c r="H7064" s="144"/>
      <c r="I7064" s="126"/>
    </row>
    <row r="7065" spans="3:9" ht="15.95" customHeight="1" thickBot="1" x14ac:dyDescent="0.3">
      <c r="C7065" s="122"/>
      <c r="D7065" s="117" t="s">
        <v>1496</v>
      </c>
      <c r="E7065" s="118"/>
      <c r="F7065" s="123" t="s">
        <v>159</v>
      </c>
      <c r="G7065" s="242">
        <v>0.1</v>
      </c>
      <c r="H7065" s="144">
        <f>VLOOKUP(D7065,Bahan,6,FALSE)</f>
        <v>5880</v>
      </c>
      <c r="I7065" s="126">
        <f>G7065*H7065</f>
        <v>588</v>
      </c>
    </row>
    <row r="7066" spans="3:9" ht="15.95" customHeight="1" thickBot="1" x14ac:dyDescent="0.3">
      <c r="C7066" s="132"/>
      <c r="D7066" s="133"/>
      <c r="E7066" s="134"/>
      <c r="F7066" s="134"/>
      <c r="G7066" s="135" t="s">
        <v>386</v>
      </c>
      <c r="H7066" s="136"/>
      <c r="I7066" s="137">
        <f>SUM(I7065)</f>
        <v>588</v>
      </c>
    </row>
    <row r="7067" spans="3:9" ht="15.95" customHeight="1" thickBot="1" x14ac:dyDescent="0.3">
      <c r="C7067" s="116" t="s">
        <v>387</v>
      </c>
      <c r="D7067" s="117" t="s">
        <v>388</v>
      </c>
      <c r="E7067" s="118"/>
      <c r="F7067" s="118"/>
      <c r="G7067" s="165"/>
      <c r="H7067" s="144">
        <f>IF(AND(D7067&lt;&gt;"",F7067&lt;&gt;""),IF(C7067="",IF(F7067="OH",VLOOKUP(D7067,[1]UPAH!$B$3:$G$32,7,0),VLOOKUP(D7067,[1]BAHAN!$A$2:$D$3,4,0)),0),0)</f>
        <v>0</v>
      </c>
      <c r="I7067" s="126">
        <f>G7067*H7067</f>
        <v>0</v>
      </c>
    </row>
    <row r="7068" spans="3:9" ht="15.95" customHeight="1" thickBot="1" x14ac:dyDescent="0.3">
      <c r="C7068" s="132"/>
      <c r="D7068" s="133"/>
      <c r="E7068" s="134"/>
      <c r="F7068" s="134"/>
      <c r="G7068" s="135" t="s">
        <v>389</v>
      </c>
      <c r="H7068" s="136"/>
      <c r="I7068" s="137">
        <f>I7067</f>
        <v>0</v>
      </c>
    </row>
    <row r="7069" spans="3:9" ht="15.95" customHeight="1" x14ac:dyDescent="0.25">
      <c r="C7069" s="158" t="s">
        <v>390</v>
      </c>
      <c r="D7069" s="159" t="s">
        <v>391</v>
      </c>
      <c r="E7069" s="160"/>
      <c r="F7069" s="160"/>
      <c r="G7069" s="161"/>
      <c r="H7069" s="162">
        <f>IF(AND(D7069&lt;&gt;"",F7069&lt;&gt;""),IF(C7069="",IF(F7069="OH",VLOOKUP(D7069,[1]UPAH!$B$3:$G$32,7,0),VLOOKUP(D7069,[1]BAHAN!$A$2:$D$3,4,0)),0),0)</f>
        <v>0</v>
      </c>
      <c r="I7069" s="126">
        <f>SUM(I7058:I7068)/2</f>
        <v>11591</v>
      </c>
    </row>
    <row r="7070" spans="3:9" ht="15.95" customHeight="1" thickBot="1" x14ac:dyDescent="0.3">
      <c r="C7070" s="147" t="s">
        <v>392</v>
      </c>
      <c r="D7070" s="148" t="s">
        <v>393</v>
      </c>
      <c r="E7070" s="149"/>
      <c r="F7070" s="149"/>
      <c r="G7070" s="164">
        <v>0.1</v>
      </c>
      <c r="H7070" s="151"/>
      <c r="I7070" s="146">
        <f>G7070*I7069</f>
        <v>1159.1000000000001</v>
      </c>
    </row>
    <row r="7071" spans="3:9" ht="15.95" customHeight="1" thickBot="1" x14ac:dyDescent="0.3">
      <c r="C7071" s="111" t="s">
        <v>394</v>
      </c>
      <c r="D7071" s="112" t="s">
        <v>395</v>
      </c>
      <c r="E7071" s="134"/>
      <c r="F7071" s="134"/>
      <c r="G7071" s="156"/>
      <c r="H7071" s="136">
        <f>IF(AND(D7071&lt;&gt;"",F7071&lt;&gt;""),IF(C7071="",IF(F7071="OH",VLOOKUP(D7071,[1]UPAH!$B$3:$G$32,7,0),VLOOKUP(D7071,[1]BAHAN!$A$2:$D$3,4,0)),0),0)</f>
        <v>0</v>
      </c>
      <c r="I7071" s="137">
        <f>ROUNDDOWN(I7069+I7070,0)</f>
        <v>12750</v>
      </c>
    </row>
    <row r="7072" spans="3:9" ht="15.95" customHeight="1" x14ac:dyDescent="0.25">
      <c r="C7072" s="109"/>
      <c r="D7072" s="109"/>
      <c r="G7072" s="157"/>
    </row>
    <row r="7073" spans="2:10" ht="15.95" customHeight="1" thickBot="1" x14ac:dyDescent="0.3">
      <c r="B7073" s="109" t="s">
        <v>1497</v>
      </c>
      <c r="C7073" s="104" t="s">
        <v>1498</v>
      </c>
      <c r="G7073" s="157"/>
      <c r="J7073" s="110">
        <f>I7090</f>
        <v>25072</v>
      </c>
    </row>
    <row r="7074" spans="2:10" ht="15.95" customHeight="1" thickBot="1" x14ac:dyDescent="0.3">
      <c r="C7074" s="111" t="s">
        <v>328</v>
      </c>
      <c r="D7074" s="112" t="s">
        <v>359</v>
      </c>
      <c r="E7074" s="113" t="s">
        <v>360</v>
      </c>
      <c r="F7074" s="113" t="s">
        <v>330</v>
      </c>
      <c r="G7074" s="114" t="s">
        <v>361</v>
      </c>
      <c r="H7074" s="112" t="s">
        <v>362</v>
      </c>
      <c r="I7074" s="115" t="s">
        <v>363</v>
      </c>
    </row>
    <row r="7075" spans="2:10" ht="15.95" customHeight="1" x14ac:dyDescent="0.25">
      <c r="C7075" s="116" t="s">
        <v>364</v>
      </c>
      <c r="D7075" s="117" t="s">
        <v>365</v>
      </c>
      <c r="E7075" s="118"/>
      <c r="F7075" s="118"/>
      <c r="G7075" s="165"/>
      <c r="H7075" s="144"/>
      <c r="I7075" s="126"/>
    </row>
    <row r="7076" spans="2:10" ht="15.95" customHeight="1" x14ac:dyDescent="0.25">
      <c r="C7076" s="122"/>
      <c r="D7076" s="117" t="s">
        <v>366</v>
      </c>
      <c r="E7076" s="123" t="s">
        <v>367</v>
      </c>
      <c r="F7076" s="123" t="s">
        <v>368</v>
      </c>
      <c r="G7076" s="242">
        <v>0.15</v>
      </c>
      <c r="H7076" s="125">
        <f>VLOOKUP(D7076,Upah,8,FALSE)</f>
        <v>125000</v>
      </c>
      <c r="I7076" s="126">
        <f>G7076*H7076</f>
        <v>18750</v>
      </c>
    </row>
    <row r="7077" spans="2:10" ht="15.95" customHeight="1" x14ac:dyDescent="0.25">
      <c r="C7077" s="122"/>
      <c r="D7077" s="117" t="s">
        <v>1463</v>
      </c>
      <c r="E7077" s="123" t="s">
        <v>1464</v>
      </c>
      <c r="F7077" s="123" t="s">
        <v>368</v>
      </c>
      <c r="G7077" s="242">
        <v>1E-3</v>
      </c>
      <c r="H7077" s="125">
        <f>VLOOKUP(D7077,Upah,8,FALSE)</f>
        <v>150000</v>
      </c>
      <c r="I7077" s="126">
        <f>G7077*H7077</f>
        <v>150</v>
      </c>
    </row>
    <row r="7078" spans="2:10" ht="15.95" customHeight="1" x14ac:dyDescent="0.25">
      <c r="C7078" s="122"/>
      <c r="D7078" s="117" t="s">
        <v>429</v>
      </c>
      <c r="E7078" s="123" t="s">
        <v>372</v>
      </c>
      <c r="F7078" s="123" t="s">
        <v>368</v>
      </c>
      <c r="G7078" s="242">
        <v>1E-4</v>
      </c>
      <c r="H7078" s="125">
        <f>VLOOKUP(D7078,Upah,8,FALSE)</f>
        <v>165000</v>
      </c>
      <c r="I7078" s="126">
        <f>G7078*H7078</f>
        <v>16.5</v>
      </c>
    </row>
    <row r="7079" spans="2:10" ht="15.95" customHeight="1" thickBot="1" x14ac:dyDescent="0.3">
      <c r="C7079" s="122"/>
      <c r="D7079" s="117" t="s">
        <v>373</v>
      </c>
      <c r="E7079" s="123" t="s">
        <v>374</v>
      </c>
      <c r="F7079" s="123" t="s">
        <v>368</v>
      </c>
      <c r="G7079" s="242">
        <v>2.5000000000000001E-3</v>
      </c>
      <c r="H7079" s="125">
        <f>VLOOKUP(D7079,Upah,8,FALSE)</f>
        <v>170000</v>
      </c>
      <c r="I7079" s="126">
        <f>G7079*H7079</f>
        <v>425</v>
      </c>
    </row>
    <row r="7080" spans="2:10" ht="15.95" customHeight="1" thickBot="1" x14ac:dyDescent="0.3">
      <c r="C7080" s="132"/>
      <c r="D7080" s="133"/>
      <c r="E7080" s="134"/>
      <c r="F7080" s="134"/>
      <c r="G7080" s="135" t="s">
        <v>375</v>
      </c>
      <c r="H7080" s="136"/>
      <c r="I7080" s="137">
        <f>SUM(I7076:I7079)</f>
        <v>19341.5</v>
      </c>
    </row>
    <row r="7081" spans="2:10" ht="15.95" customHeight="1" x14ac:dyDescent="0.25">
      <c r="C7081" s="116" t="s">
        <v>376</v>
      </c>
      <c r="D7081" s="117" t="s">
        <v>377</v>
      </c>
      <c r="E7081" s="118"/>
      <c r="F7081" s="118"/>
      <c r="G7081" s="165"/>
      <c r="H7081" s="144"/>
      <c r="I7081" s="126"/>
    </row>
    <row r="7082" spans="2:10" ht="15.95" customHeight="1" x14ac:dyDescent="0.25">
      <c r="C7082" s="122"/>
      <c r="D7082" s="117" t="s">
        <v>1499</v>
      </c>
      <c r="E7082" s="118"/>
      <c r="F7082" s="123" t="s">
        <v>159</v>
      </c>
      <c r="G7082" s="242">
        <v>0.15</v>
      </c>
      <c r="H7082" s="144">
        <f>VLOOKUP(D7082,Bahan,6,FALSE)</f>
        <v>16370</v>
      </c>
      <c r="I7082" s="126">
        <f>G7082*H7082</f>
        <v>2455.5</v>
      </c>
    </row>
    <row r="7083" spans="2:10" ht="15.95" customHeight="1" x14ac:dyDescent="0.25">
      <c r="C7083" s="122"/>
      <c r="D7083" s="117" t="s">
        <v>1471</v>
      </c>
      <c r="E7083" s="118"/>
      <c r="F7083" s="123" t="s">
        <v>399</v>
      </c>
      <c r="G7083" s="242">
        <v>0.1</v>
      </c>
      <c r="H7083" s="144">
        <f>VLOOKUP(D7083,Bahan,6,FALSE)</f>
        <v>8260</v>
      </c>
      <c r="I7083" s="126">
        <f>G7083*H7083</f>
        <v>826</v>
      </c>
    </row>
    <row r="7084" spans="2:10" ht="15.95" customHeight="1" thickBot="1" x14ac:dyDescent="0.3">
      <c r="C7084" s="122"/>
      <c r="D7084" s="117" t="s">
        <v>1500</v>
      </c>
      <c r="E7084" s="118"/>
      <c r="F7084" s="123" t="s">
        <v>1501</v>
      </c>
      <c r="G7084" s="242">
        <v>0.25</v>
      </c>
      <c r="H7084" s="144">
        <f>VLOOKUP(D7084,Bahan,6,FALSE)</f>
        <v>680</v>
      </c>
      <c r="I7084" s="126">
        <f>G7084*H7084</f>
        <v>170</v>
      </c>
    </row>
    <row r="7085" spans="2:10" ht="15.95" customHeight="1" thickBot="1" x14ac:dyDescent="0.3">
      <c r="C7085" s="132"/>
      <c r="D7085" s="133"/>
      <c r="E7085" s="134"/>
      <c r="F7085" s="134"/>
      <c r="G7085" s="135" t="s">
        <v>386</v>
      </c>
      <c r="H7085" s="136"/>
      <c r="I7085" s="137">
        <f>SUM(I7082:I7084)</f>
        <v>3451.5</v>
      </c>
    </row>
    <row r="7086" spans="2:10" ht="15.95" customHeight="1" thickBot="1" x14ac:dyDescent="0.3">
      <c r="C7086" s="116" t="s">
        <v>387</v>
      </c>
      <c r="D7086" s="117" t="s">
        <v>388</v>
      </c>
      <c r="E7086" s="118"/>
      <c r="F7086" s="118"/>
      <c r="G7086" s="165"/>
      <c r="H7086" s="144">
        <f>IF(AND(D7086&lt;&gt;"",F7086&lt;&gt;""),IF(C7086="",IF(F7086="OH",VLOOKUP(D7086,[1]UPAH!$B$3:$G$32,7,0),VLOOKUP(D7086,[1]BAHAN!$A$2:$D$3,4,0)),0),0)</f>
        <v>0</v>
      </c>
      <c r="I7086" s="126">
        <f>G7086*H7086</f>
        <v>0</v>
      </c>
    </row>
    <row r="7087" spans="2:10" ht="15.95" customHeight="1" thickBot="1" x14ac:dyDescent="0.3">
      <c r="C7087" s="132"/>
      <c r="D7087" s="133"/>
      <c r="E7087" s="134"/>
      <c r="F7087" s="134"/>
      <c r="G7087" s="135" t="s">
        <v>389</v>
      </c>
      <c r="H7087" s="136"/>
      <c r="I7087" s="137">
        <f>I7086</f>
        <v>0</v>
      </c>
    </row>
    <row r="7088" spans="2:10" ht="15.95" customHeight="1" x14ac:dyDescent="0.25">
      <c r="C7088" s="158" t="s">
        <v>390</v>
      </c>
      <c r="D7088" s="159" t="s">
        <v>391</v>
      </c>
      <c r="E7088" s="160"/>
      <c r="F7088" s="160"/>
      <c r="G7088" s="161"/>
      <c r="H7088" s="162">
        <f>IF(AND(D7088&lt;&gt;"",F7088&lt;&gt;""),IF(C7088="",IF(F7088="OH",VLOOKUP(D7088,[1]UPAH!$B$3:$G$32,7,0),VLOOKUP(D7088,[1]BAHAN!$A$2:$D$3,4,0)),0),0)</f>
        <v>0</v>
      </c>
      <c r="I7088" s="126">
        <f>SUM(I7076:I7087)/2</f>
        <v>22793</v>
      </c>
    </row>
    <row r="7089" spans="2:10" ht="15.95" customHeight="1" thickBot="1" x14ac:dyDescent="0.3">
      <c r="C7089" s="147" t="s">
        <v>392</v>
      </c>
      <c r="D7089" s="148" t="s">
        <v>393</v>
      </c>
      <c r="E7089" s="149"/>
      <c r="F7089" s="149"/>
      <c r="G7089" s="164">
        <v>0.1</v>
      </c>
      <c r="H7089" s="151"/>
      <c r="I7089" s="146">
        <f>G7089*I7088</f>
        <v>2279.3000000000002</v>
      </c>
    </row>
    <row r="7090" spans="2:10" ht="15.95" customHeight="1" thickBot="1" x14ac:dyDescent="0.3">
      <c r="C7090" s="111" t="s">
        <v>394</v>
      </c>
      <c r="D7090" s="112" t="s">
        <v>395</v>
      </c>
      <c r="E7090" s="134"/>
      <c r="F7090" s="134"/>
      <c r="G7090" s="156"/>
      <c r="H7090" s="136">
        <f>IF(AND(D7090&lt;&gt;"",F7090&lt;&gt;""),IF(C7090="",IF(F7090="OH",VLOOKUP(D7090,[1]UPAH!$B$3:$G$32,7,0),VLOOKUP(D7090,[1]BAHAN!$A$2:$D$3,4,0)),0),0)</f>
        <v>0</v>
      </c>
      <c r="I7090" s="137">
        <f>ROUNDDOWN(I7088+I7089,0)</f>
        <v>25072</v>
      </c>
    </row>
    <row r="7091" spans="2:10" ht="15.95" customHeight="1" x14ac:dyDescent="0.25">
      <c r="C7091" s="109"/>
      <c r="D7091" s="109"/>
      <c r="G7091" s="157"/>
    </row>
    <row r="7092" spans="2:10" ht="15.95" customHeight="1" thickBot="1" x14ac:dyDescent="0.3">
      <c r="B7092" s="109" t="s">
        <v>1502</v>
      </c>
      <c r="C7092" s="104" t="s">
        <v>1503</v>
      </c>
      <c r="G7092" s="157"/>
      <c r="J7092" s="110">
        <f>I7109</f>
        <v>14289</v>
      </c>
    </row>
    <row r="7093" spans="2:10" ht="15.95" customHeight="1" thickBot="1" x14ac:dyDescent="0.3">
      <c r="C7093" s="111" t="s">
        <v>328</v>
      </c>
      <c r="D7093" s="112" t="s">
        <v>359</v>
      </c>
      <c r="E7093" s="113" t="s">
        <v>360</v>
      </c>
      <c r="F7093" s="113" t="s">
        <v>330</v>
      </c>
      <c r="G7093" s="114" t="s">
        <v>361</v>
      </c>
      <c r="H7093" s="112" t="s">
        <v>362</v>
      </c>
      <c r="I7093" s="115" t="s">
        <v>363</v>
      </c>
    </row>
    <row r="7094" spans="2:10" ht="15.95" customHeight="1" x14ac:dyDescent="0.25">
      <c r="C7094" s="116" t="s">
        <v>364</v>
      </c>
      <c r="D7094" s="117" t="s">
        <v>365</v>
      </c>
      <c r="E7094" s="118"/>
      <c r="F7094" s="118"/>
      <c r="G7094" s="165"/>
      <c r="H7094" s="144"/>
      <c r="I7094" s="126"/>
    </row>
    <row r="7095" spans="2:10" ht="15.95" customHeight="1" x14ac:dyDescent="0.25">
      <c r="C7095" s="122"/>
      <c r="D7095" s="117" t="s">
        <v>366</v>
      </c>
      <c r="E7095" s="123" t="s">
        <v>367</v>
      </c>
      <c r="F7095" s="123" t="s">
        <v>368</v>
      </c>
      <c r="G7095" s="242">
        <v>0.04</v>
      </c>
      <c r="H7095" s="125">
        <f>VLOOKUP(D7095,Upah,8,FALSE)</f>
        <v>125000</v>
      </c>
      <c r="I7095" s="126">
        <f>G7095*H7095</f>
        <v>5000</v>
      </c>
    </row>
    <row r="7096" spans="2:10" ht="15.95" customHeight="1" x14ac:dyDescent="0.25">
      <c r="C7096" s="122"/>
      <c r="D7096" s="117" t="s">
        <v>1463</v>
      </c>
      <c r="E7096" s="123" t="s">
        <v>1464</v>
      </c>
      <c r="F7096" s="123" t="s">
        <v>368</v>
      </c>
      <c r="G7096" s="242">
        <v>5.0000000000000001E-3</v>
      </c>
      <c r="H7096" s="125">
        <f>VLOOKUP(D7096,Upah,8,FALSE)</f>
        <v>150000</v>
      </c>
      <c r="I7096" s="126">
        <f>G7096*H7096</f>
        <v>750</v>
      </c>
    </row>
    <row r="7097" spans="2:10" ht="15.95" customHeight="1" x14ac:dyDescent="0.25">
      <c r="C7097" s="122"/>
      <c r="D7097" s="117" t="s">
        <v>429</v>
      </c>
      <c r="E7097" s="123" t="s">
        <v>372</v>
      </c>
      <c r="F7097" s="123" t="s">
        <v>368</v>
      </c>
      <c r="G7097" s="242">
        <v>5.0000000000000001E-4</v>
      </c>
      <c r="H7097" s="125">
        <f>VLOOKUP(D7097,Upah,8,FALSE)</f>
        <v>165000</v>
      </c>
      <c r="I7097" s="126">
        <f>G7097*H7097</f>
        <v>82.5</v>
      </c>
    </row>
    <row r="7098" spans="2:10" ht="15.95" customHeight="1" thickBot="1" x14ac:dyDescent="0.3">
      <c r="C7098" s="122"/>
      <c r="D7098" s="117" t="s">
        <v>373</v>
      </c>
      <c r="E7098" s="123" t="s">
        <v>374</v>
      </c>
      <c r="F7098" s="123" t="s">
        <v>368</v>
      </c>
      <c r="G7098" s="242">
        <v>2.5000000000000001E-3</v>
      </c>
      <c r="H7098" s="125">
        <f>VLOOKUP(D7098,Upah,8,FALSE)</f>
        <v>170000</v>
      </c>
      <c r="I7098" s="126">
        <f>G7098*H7098</f>
        <v>425</v>
      </c>
    </row>
    <row r="7099" spans="2:10" ht="15.95" customHeight="1" thickBot="1" x14ac:dyDescent="0.3">
      <c r="C7099" s="132"/>
      <c r="D7099" s="133"/>
      <c r="E7099" s="134"/>
      <c r="F7099" s="134"/>
      <c r="G7099" s="135" t="s">
        <v>375</v>
      </c>
      <c r="H7099" s="136"/>
      <c r="I7099" s="137">
        <f>SUM(I7095:I7098)</f>
        <v>6257.5</v>
      </c>
    </row>
    <row r="7100" spans="2:10" ht="15.95" customHeight="1" x14ac:dyDescent="0.25">
      <c r="C7100" s="116" t="s">
        <v>376</v>
      </c>
      <c r="D7100" s="117" t="s">
        <v>377</v>
      </c>
      <c r="E7100" s="118"/>
      <c r="F7100" s="118"/>
      <c r="G7100" s="165"/>
      <c r="H7100" s="144"/>
      <c r="I7100" s="126"/>
    </row>
    <row r="7101" spans="2:10" ht="15.95" customHeight="1" x14ac:dyDescent="0.25">
      <c r="C7101" s="122"/>
      <c r="D7101" s="117" t="s">
        <v>1499</v>
      </c>
      <c r="E7101" s="118"/>
      <c r="F7101" s="123" t="s">
        <v>159</v>
      </c>
      <c r="G7101" s="242">
        <v>0.3</v>
      </c>
      <c r="H7101" s="144">
        <f>VLOOKUP(D7101,Bahan,6,FALSE)</f>
        <v>16370</v>
      </c>
      <c r="I7101" s="126">
        <f>G7101*H7101</f>
        <v>4911</v>
      </c>
    </row>
    <row r="7102" spans="2:10" ht="15.95" customHeight="1" x14ac:dyDescent="0.25">
      <c r="C7102" s="122"/>
      <c r="D7102" s="117" t="s">
        <v>1471</v>
      </c>
      <c r="E7102" s="118"/>
      <c r="F7102" s="123" t="s">
        <v>399</v>
      </c>
      <c r="G7102" s="242">
        <v>0.2</v>
      </c>
      <c r="H7102" s="144">
        <f>VLOOKUP(D7102,Bahan,6,FALSE)</f>
        <v>8260</v>
      </c>
      <c r="I7102" s="126">
        <f>G7102*H7102</f>
        <v>1652</v>
      </c>
    </row>
    <row r="7103" spans="2:10" ht="15.95" customHeight="1" thickBot="1" x14ac:dyDescent="0.3">
      <c r="C7103" s="122"/>
      <c r="D7103" s="117" t="s">
        <v>1500</v>
      </c>
      <c r="E7103" s="118"/>
      <c r="F7103" s="123" t="s">
        <v>1501</v>
      </c>
      <c r="G7103" s="242">
        <v>0.25</v>
      </c>
      <c r="H7103" s="144">
        <f>VLOOKUP(D7103,Bahan,6,FALSE)</f>
        <v>680</v>
      </c>
      <c r="I7103" s="126">
        <f>G7103*H7103</f>
        <v>170</v>
      </c>
    </row>
    <row r="7104" spans="2:10" ht="15.95" customHeight="1" thickBot="1" x14ac:dyDescent="0.3">
      <c r="C7104" s="132"/>
      <c r="D7104" s="133"/>
      <c r="E7104" s="134"/>
      <c r="F7104" s="134"/>
      <c r="G7104" s="135" t="s">
        <v>386</v>
      </c>
      <c r="H7104" s="136"/>
      <c r="I7104" s="137">
        <f>SUM(I7101:I7103)</f>
        <v>6733</v>
      </c>
    </row>
    <row r="7105" spans="2:10" ht="15.95" customHeight="1" thickBot="1" x14ac:dyDescent="0.3">
      <c r="C7105" s="116" t="s">
        <v>387</v>
      </c>
      <c r="D7105" s="117" t="s">
        <v>388</v>
      </c>
      <c r="E7105" s="118"/>
      <c r="F7105" s="118"/>
      <c r="G7105" s="165"/>
      <c r="H7105" s="144">
        <f>IF(AND(D7105&lt;&gt;"",F7105&lt;&gt;""),IF(C7105="",IF(F7105="OH",VLOOKUP(D7105,[1]UPAH!$B$3:$G$32,7,0),VLOOKUP(D7105,[1]BAHAN!$A$2:$D$3,4,0)),0),0)</f>
        <v>0</v>
      </c>
      <c r="I7105" s="126">
        <f>G7105*H7105</f>
        <v>0</v>
      </c>
    </row>
    <row r="7106" spans="2:10" ht="15.95" customHeight="1" thickBot="1" x14ac:dyDescent="0.3">
      <c r="C7106" s="132"/>
      <c r="D7106" s="133"/>
      <c r="E7106" s="134"/>
      <c r="F7106" s="134"/>
      <c r="G7106" s="135" t="s">
        <v>389</v>
      </c>
      <c r="H7106" s="136"/>
      <c r="I7106" s="137">
        <f>I7105</f>
        <v>0</v>
      </c>
    </row>
    <row r="7107" spans="2:10" ht="15.95" customHeight="1" x14ac:dyDescent="0.25">
      <c r="C7107" s="158" t="s">
        <v>390</v>
      </c>
      <c r="D7107" s="159" t="s">
        <v>391</v>
      </c>
      <c r="E7107" s="160"/>
      <c r="F7107" s="160"/>
      <c r="G7107" s="161"/>
      <c r="H7107" s="162">
        <f>IF(AND(D7107&lt;&gt;"",F7107&lt;&gt;""),IF(C7107="",IF(F7107="OH",VLOOKUP(D7107,[1]UPAH!$B$3:$G$32,7,0),VLOOKUP(D7107,[1]BAHAN!$A$2:$D$3,4,0)),0),0)</f>
        <v>0</v>
      </c>
      <c r="I7107" s="126">
        <f>SUM(I7095:I7106)/2</f>
        <v>12990.5</v>
      </c>
    </row>
    <row r="7108" spans="2:10" ht="15.95" customHeight="1" thickBot="1" x14ac:dyDescent="0.3">
      <c r="C7108" s="147" t="s">
        <v>392</v>
      </c>
      <c r="D7108" s="148" t="s">
        <v>393</v>
      </c>
      <c r="E7108" s="149"/>
      <c r="F7108" s="149"/>
      <c r="G7108" s="164">
        <v>0.1</v>
      </c>
      <c r="H7108" s="151"/>
      <c r="I7108" s="146">
        <f>G7108*I7107</f>
        <v>1299.0500000000002</v>
      </c>
    </row>
    <row r="7109" spans="2:10" ht="15.95" customHeight="1" thickBot="1" x14ac:dyDescent="0.3">
      <c r="C7109" s="111" t="s">
        <v>394</v>
      </c>
      <c r="D7109" s="112" t="s">
        <v>395</v>
      </c>
      <c r="E7109" s="134"/>
      <c r="F7109" s="134"/>
      <c r="G7109" s="156"/>
      <c r="H7109" s="136">
        <f>IF(AND(D7109&lt;&gt;"",F7109&lt;&gt;""),IF(C7109="",IF(F7109="OH",VLOOKUP(D7109,[1]UPAH!$B$3:$G$32,7,0),VLOOKUP(D7109,[1]BAHAN!$A$2:$D$3,4,0)),0),0)</f>
        <v>0</v>
      </c>
      <c r="I7109" s="137">
        <f>ROUNDDOWN(I7107+I7108,0)</f>
        <v>14289</v>
      </c>
    </row>
    <row r="7110" spans="2:10" ht="15.95" customHeight="1" x14ac:dyDescent="0.25">
      <c r="C7110" s="109"/>
      <c r="D7110" s="109"/>
      <c r="G7110" s="157"/>
    </row>
    <row r="7111" spans="2:10" ht="15.95" customHeight="1" thickBot="1" x14ac:dyDescent="0.3">
      <c r="B7111" s="109" t="s">
        <v>1504</v>
      </c>
      <c r="C7111" s="104" t="s">
        <v>1505</v>
      </c>
      <c r="G7111" s="157"/>
      <c r="J7111" s="110">
        <f>I7127</f>
        <v>100943</v>
      </c>
    </row>
    <row r="7112" spans="2:10" ht="15.95" customHeight="1" thickBot="1" x14ac:dyDescent="0.3">
      <c r="C7112" s="111" t="s">
        <v>328</v>
      </c>
      <c r="D7112" s="112" t="s">
        <v>359</v>
      </c>
      <c r="E7112" s="113" t="s">
        <v>360</v>
      </c>
      <c r="F7112" s="113" t="s">
        <v>330</v>
      </c>
      <c r="G7112" s="114" t="s">
        <v>361</v>
      </c>
      <c r="H7112" s="112" t="s">
        <v>362</v>
      </c>
      <c r="I7112" s="115" t="s">
        <v>363</v>
      </c>
    </row>
    <row r="7113" spans="2:10" ht="15.95" customHeight="1" x14ac:dyDescent="0.25">
      <c r="C7113" s="116" t="s">
        <v>364</v>
      </c>
      <c r="D7113" s="117" t="s">
        <v>365</v>
      </c>
      <c r="E7113" s="118"/>
      <c r="F7113" s="118"/>
      <c r="G7113" s="165"/>
      <c r="H7113" s="144"/>
      <c r="I7113" s="126"/>
    </row>
    <row r="7114" spans="2:10" ht="15.95" customHeight="1" x14ac:dyDescent="0.25">
      <c r="C7114" s="122"/>
      <c r="D7114" s="117" t="s">
        <v>366</v>
      </c>
      <c r="E7114" s="123" t="s">
        <v>367</v>
      </c>
      <c r="F7114" s="123" t="s">
        <v>368</v>
      </c>
      <c r="G7114" s="242">
        <v>0.02</v>
      </c>
      <c r="H7114" s="125">
        <f>VLOOKUP(D7114,Upah,8,FALSE)</f>
        <v>125000</v>
      </c>
      <c r="I7114" s="126">
        <f>G7114*H7114</f>
        <v>2500</v>
      </c>
    </row>
    <row r="7115" spans="2:10" ht="15.95" customHeight="1" x14ac:dyDescent="0.25">
      <c r="C7115" s="122"/>
      <c r="D7115" s="117" t="s">
        <v>1463</v>
      </c>
      <c r="E7115" s="123" t="s">
        <v>1464</v>
      </c>
      <c r="F7115" s="123" t="s">
        <v>368</v>
      </c>
      <c r="G7115" s="242">
        <v>0.2</v>
      </c>
      <c r="H7115" s="125">
        <f>VLOOKUP(D7115,Upah,8,FALSE)</f>
        <v>150000</v>
      </c>
      <c r="I7115" s="126">
        <f>G7115*H7115</f>
        <v>30000</v>
      </c>
    </row>
    <row r="7116" spans="2:10" ht="15.95" customHeight="1" x14ac:dyDescent="0.25">
      <c r="C7116" s="122"/>
      <c r="D7116" s="117" t="s">
        <v>429</v>
      </c>
      <c r="E7116" s="123" t="s">
        <v>372</v>
      </c>
      <c r="F7116" s="123" t="s">
        <v>368</v>
      </c>
      <c r="G7116" s="242">
        <v>0.02</v>
      </c>
      <c r="H7116" s="125">
        <f>VLOOKUP(D7116,Upah,8,FALSE)</f>
        <v>165000</v>
      </c>
      <c r="I7116" s="126">
        <f>G7116*H7116</f>
        <v>3300</v>
      </c>
    </row>
    <row r="7117" spans="2:10" ht="15.95" customHeight="1" thickBot="1" x14ac:dyDescent="0.3">
      <c r="C7117" s="122"/>
      <c r="D7117" s="117" t="s">
        <v>373</v>
      </c>
      <c r="E7117" s="123" t="s">
        <v>374</v>
      </c>
      <c r="F7117" s="123" t="s">
        <v>368</v>
      </c>
      <c r="G7117" s="242">
        <v>2.5000000000000001E-3</v>
      </c>
      <c r="H7117" s="125">
        <f>VLOOKUP(D7117,Upah,8,FALSE)</f>
        <v>170000</v>
      </c>
      <c r="I7117" s="126">
        <f>G7117*H7117</f>
        <v>425</v>
      </c>
    </row>
    <row r="7118" spans="2:10" ht="15.95" customHeight="1" thickBot="1" x14ac:dyDescent="0.3">
      <c r="C7118" s="132"/>
      <c r="D7118" s="133"/>
      <c r="E7118" s="134"/>
      <c r="F7118" s="134"/>
      <c r="G7118" s="135" t="s">
        <v>375</v>
      </c>
      <c r="H7118" s="136"/>
      <c r="I7118" s="137">
        <f>SUM(I7114:I7117)</f>
        <v>36225</v>
      </c>
    </row>
    <row r="7119" spans="2:10" ht="15.95" customHeight="1" x14ac:dyDescent="0.25">
      <c r="C7119" s="116" t="s">
        <v>376</v>
      </c>
      <c r="D7119" s="117" t="s">
        <v>377</v>
      </c>
      <c r="E7119" s="118"/>
      <c r="F7119" s="118"/>
      <c r="G7119" s="165"/>
      <c r="H7119" s="144"/>
      <c r="I7119" s="126"/>
    </row>
    <row r="7120" spans="2:10" ht="15.95" customHeight="1" x14ac:dyDescent="0.25">
      <c r="C7120" s="122"/>
      <c r="D7120" s="117" t="s">
        <v>1506</v>
      </c>
      <c r="E7120" s="118"/>
      <c r="F7120" s="123" t="s">
        <v>82</v>
      </c>
      <c r="G7120" s="242">
        <v>1.2</v>
      </c>
      <c r="H7120" s="144">
        <f>VLOOKUP(D7120,Bahan,6,FALSE)</f>
        <v>43750</v>
      </c>
      <c r="I7120" s="126">
        <f>G7120*H7120</f>
        <v>52500</v>
      </c>
    </row>
    <row r="7121" spans="2:10" ht="15.95" customHeight="1" thickBot="1" x14ac:dyDescent="0.3">
      <c r="C7121" s="122"/>
      <c r="D7121" s="117" t="s">
        <v>1082</v>
      </c>
      <c r="E7121" s="118"/>
      <c r="F7121" s="123" t="s">
        <v>159</v>
      </c>
      <c r="G7121" s="242">
        <v>0.2</v>
      </c>
      <c r="H7121" s="144">
        <f>VLOOKUP(D7121,Bahan,6,FALSE)</f>
        <v>15210</v>
      </c>
      <c r="I7121" s="126">
        <f>G7121*H7121</f>
        <v>3042</v>
      </c>
    </row>
    <row r="7122" spans="2:10" ht="15.95" customHeight="1" thickBot="1" x14ac:dyDescent="0.3">
      <c r="C7122" s="132"/>
      <c r="D7122" s="133"/>
      <c r="E7122" s="134"/>
      <c r="F7122" s="134"/>
      <c r="G7122" s="135" t="s">
        <v>386</v>
      </c>
      <c r="H7122" s="136"/>
      <c r="I7122" s="137">
        <f>SUM(I7120:I7121)</f>
        <v>55542</v>
      </c>
    </row>
    <row r="7123" spans="2:10" ht="15.95" customHeight="1" thickBot="1" x14ac:dyDescent="0.3">
      <c r="C7123" s="116" t="s">
        <v>387</v>
      </c>
      <c r="D7123" s="117" t="s">
        <v>388</v>
      </c>
      <c r="E7123" s="118"/>
      <c r="F7123" s="118"/>
      <c r="G7123" s="165"/>
      <c r="H7123" s="144">
        <f>IF(AND(D7123&lt;&gt;"",F7123&lt;&gt;""),IF(C7123="",IF(F7123="OH",VLOOKUP(D7123,[1]UPAH!$B$3:$G$32,7,0),VLOOKUP(D7123,[1]BAHAN!$A$2:$D$3,4,0)),0),0)</f>
        <v>0</v>
      </c>
      <c r="I7123" s="126">
        <f>G7123*H7123</f>
        <v>0</v>
      </c>
    </row>
    <row r="7124" spans="2:10" ht="15.95" customHeight="1" thickBot="1" x14ac:dyDescent="0.3">
      <c r="C7124" s="132"/>
      <c r="D7124" s="133"/>
      <c r="E7124" s="134"/>
      <c r="F7124" s="134"/>
      <c r="G7124" s="135" t="s">
        <v>389</v>
      </c>
      <c r="H7124" s="136"/>
      <c r="I7124" s="137">
        <f>I7123</f>
        <v>0</v>
      </c>
    </row>
    <row r="7125" spans="2:10" ht="15.95" customHeight="1" x14ac:dyDescent="0.25">
      <c r="C7125" s="158" t="s">
        <v>390</v>
      </c>
      <c r="D7125" s="159" t="s">
        <v>391</v>
      </c>
      <c r="E7125" s="160"/>
      <c r="F7125" s="160"/>
      <c r="G7125" s="161"/>
      <c r="H7125" s="162">
        <f>IF(AND(D7125&lt;&gt;"",F7125&lt;&gt;""),IF(C7125="",IF(F7125="OH",VLOOKUP(D7125,[1]UPAH!$B$3:$G$32,7,0),VLOOKUP(D7125,[1]BAHAN!$A$2:$D$3,4,0)),0),0)</f>
        <v>0</v>
      </c>
      <c r="I7125" s="126">
        <f>SUM(I7114:I7124)/2</f>
        <v>91767</v>
      </c>
    </row>
    <row r="7126" spans="2:10" ht="15.95" customHeight="1" thickBot="1" x14ac:dyDescent="0.3">
      <c r="C7126" s="147" t="s">
        <v>392</v>
      </c>
      <c r="D7126" s="148" t="s">
        <v>393</v>
      </c>
      <c r="E7126" s="149"/>
      <c r="F7126" s="149"/>
      <c r="G7126" s="164">
        <v>0.1</v>
      </c>
      <c r="H7126" s="151"/>
      <c r="I7126" s="146">
        <f>G7126*I7125</f>
        <v>9176.7000000000007</v>
      </c>
    </row>
    <row r="7127" spans="2:10" ht="15.95" customHeight="1" thickBot="1" x14ac:dyDescent="0.3">
      <c r="C7127" s="111" t="s">
        <v>394</v>
      </c>
      <c r="D7127" s="112" t="s">
        <v>395</v>
      </c>
      <c r="E7127" s="134"/>
      <c r="F7127" s="134"/>
      <c r="G7127" s="156"/>
      <c r="H7127" s="136">
        <f>IF(AND(D7127&lt;&gt;"",F7127&lt;&gt;""),IF(C7127="",IF(F7127="OH",VLOOKUP(D7127,[1]UPAH!$B$3:$G$32,7,0),VLOOKUP(D7127,[1]BAHAN!$A$2:$D$3,4,0)),0),0)</f>
        <v>0</v>
      </c>
      <c r="I7127" s="137">
        <f>ROUNDDOWN(I7125+I7126,0)</f>
        <v>100943</v>
      </c>
    </row>
    <row r="7128" spans="2:10" ht="15.95" customHeight="1" x14ac:dyDescent="0.25">
      <c r="C7128" s="109"/>
      <c r="D7128" s="109"/>
      <c r="G7128" s="157"/>
    </row>
    <row r="7129" spans="2:10" ht="15.95" customHeight="1" thickBot="1" x14ac:dyDescent="0.3">
      <c r="B7129" s="247" t="s">
        <v>1507</v>
      </c>
      <c r="C7129" s="104" t="s">
        <v>1508</v>
      </c>
      <c r="G7129" s="157"/>
      <c r="J7129" s="110">
        <f>I7145</f>
        <v>43847</v>
      </c>
    </row>
    <row r="7130" spans="2:10" ht="15.95" customHeight="1" thickBot="1" x14ac:dyDescent="0.3">
      <c r="C7130" s="111" t="s">
        <v>328</v>
      </c>
      <c r="D7130" s="112" t="s">
        <v>359</v>
      </c>
      <c r="E7130" s="113" t="s">
        <v>360</v>
      </c>
      <c r="F7130" s="113" t="s">
        <v>330</v>
      </c>
      <c r="G7130" s="114" t="s">
        <v>361</v>
      </c>
      <c r="H7130" s="112" t="s">
        <v>362</v>
      </c>
      <c r="I7130" s="115" t="s">
        <v>363</v>
      </c>
    </row>
    <row r="7131" spans="2:10" ht="15.95" customHeight="1" x14ac:dyDescent="0.25">
      <c r="C7131" s="116" t="s">
        <v>364</v>
      </c>
      <c r="D7131" s="117" t="s">
        <v>365</v>
      </c>
      <c r="E7131" s="118"/>
      <c r="F7131" s="118"/>
      <c r="G7131" s="165"/>
      <c r="H7131" s="144"/>
      <c r="I7131" s="126"/>
    </row>
    <row r="7132" spans="2:10" ht="15.95" customHeight="1" x14ac:dyDescent="0.25">
      <c r="C7132" s="122"/>
      <c r="D7132" s="117" t="s">
        <v>366</v>
      </c>
      <c r="E7132" s="123" t="s">
        <v>367</v>
      </c>
      <c r="F7132" s="123" t="s">
        <v>368</v>
      </c>
      <c r="G7132" s="242">
        <v>0.02</v>
      </c>
      <c r="H7132" s="125">
        <f>VLOOKUP(D7132,Upah,8,FALSE)</f>
        <v>125000</v>
      </c>
      <c r="I7132" s="126">
        <f>G7132*H7132</f>
        <v>2500</v>
      </c>
    </row>
    <row r="7133" spans="2:10" ht="15.95" customHeight="1" x14ac:dyDescent="0.25">
      <c r="C7133" s="122"/>
      <c r="D7133" s="117" t="s">
        <v>1463</v>
      </c>
      <c r="E7133" s="123" t="s">
        <v>1464</v>
      </c>
      <c r="F7133" s="123" t="s">
        <v>368</v>
      </c>
      <c r="G7133" s="242">
        <v>0.2</v>
      </c>
      <c r="H7133" s="125">
        <f>VLOOKUP(D7133,Upah,8,FALSE)</f>
        <v>150000</v>
      </c>
      <c r="I7133" s="126">
        <f>G7133*H7133</f>
        <v>30000</v>
      </c>
    </row>
    <row r="7134" spans="2:10" ht="15.95" customHeight="1" x14ac:dyDescent="0.25">
      <c r="C7134" s="122"/>
      <c r="D7134" s="117" t="s">
        <v>429</v>
      </c>
      <c r="E7134" s="123" t="s">
        <v>372</v>
      </c>
      <c r="F7134" s="123" t="s">
        <v>368</v>
      </c>
      <c r="G7134" s="242">
        <v>0.02</v>
      </c>
      <c r="H7134" s="125">
        <f>VLOOKUP(D7134,Upah,8,FALSE)</f>
        <v>165000</v>
      </c>
      <c r="I7134" s="126">
        <f>G7134*H7134</f>
        <v>3300</v>
      </c>
    </row>
    <row r="7135" spans="2:10" ht="15.95" customHeight="1" thickBot="1" x14ac:dyDescent="0.3">
      <c r="C7135" s="122"/>
      <c r="D7135" s="117" t="s">
        <v>373</v>
      </c>
      <c r="E7135" s="123" t="s">
        <v>374</v>
      </c>
      <c r="F7135" s="123" t="s">
        <v>368</v>
      </c>
      <c r="G7135" s="242">
        <v>2.5000000000000001E-3</v>
      </c>
      <c r="H7135" s="125">
        <f>VLOOKUP(D7135,Upah,8,FALSE)</f>
        <v>170000</v>
      </c>
      <c r="I7135" s="126">
        <f>G7135*H7135</f>
        <v>425</v>
      </c>
    </row>
    <row r="7136" spans="2:10" ht="15.95" customHeight="1" thickBot="1" x14ac:dyDescent="0.3">
      <c r="C7136" s="132"/>
      <c r="D7136" s="133"/>
      <c r="E7136" s="134"/>
      <c r="F7136" s="134"/>
      <c r="G7136" s="135" t="s">
        <v>375</v>
      </c>
      <c r="H7136" s="136"/>
      <c r="I7136" s="137">
        <f>SUM(I7132:I7135)</f>
        <v>36225</v>
      </c>
    </row>
    <row r="7137" spans="2:10" ht="15.95" customHeight="1" x14ac:dyDescent="0.25">
      <c r="C7137" s="116" t="s">
        <v>376</v>
      </c>
      <c r="D7137" s="117" t="s">
        <v>377</v>
      </c>
      <c r="E7137" s="118"/>
      <c r="F7137" s="118"/>
      <c r="G7137" s="165"/>
      <c r="H7137" s="144"/>
      <c r="I7137" s="126"/>
    </row>
    <row r="7138" spans="2:10" ht="15.95" customHeight="1" x14ac:dyDescent="0.25">
      <c r="C7138" s="122"/>
      <c r="D7138" s="117" t="s">
        <v>1509</v>
      </c>
      <c r="E7138" s="118"/>
      <c r="F7138" s="123" t="s">
        <v>159</v>
      </c>
      <c r="G7138" s="242">
        <v>0.1</v>
      </c>
      <c r="H7138" s="144">
        <f>VLOOKUP(D7138,Bahan,6,FALSE)</f>
        <v>34290</v>
      </c>
      <c r="I7138" s="126">
        <f>G7138*H7138</f>
        <v>3429</v>
      </c>
    </row>
    <row r="7139" spans="2:10" ht="15.95" customHeight="1" thickBot="1" x14ac:dyDescent="0.3">
      <c r="C7139" s="122"/>
      <c r="D7139" s="117" t="s">
        <v>1469</v>
      </c>
      <c r="E7139" s="118"/>
      <c r="F7139" s="123" t="s">
        <v>418</v>
      </c>
      <c r="G7139" s="242">
        <v>0.01</v>
      </c>
      <c r="H7139" s="144">
        <f>VLOOKUP(D7139,Bahan,6,FALSE)</f>
        <v>20740</v>
      </c>
      <c r="I7139" s="126">
        <f>G7139*H7139</f>
        <v>207.4</v>
      </c>
    </row>
    <row r="7140" spans="2:10" ht="15.95" customHeight="1" thickBot="1" x14ac:dyDescent="0.3">
      <c r="C7140" s="132"/>
      <c r="D7140" s="133"/>
      <c r="E7140" s="134"/>
      <c r="F7140" s="134"/>
      <c r="G7140" s="135" t="s">
        <v>386</v>
      </c>
      <c r="H7140" s="136"/>
      <c r="I7140" s="137">
        <f>SUM(I7138:I7139)</f>
        <v>3636.4</v>
      </c>
    </row>
    <row r="7141" spans="2:10" ht="15.95" customHeight="1" thickBot="1" x14ac:dyDescent="0.3">
      <c r="C7141" s="116" t="s">
        <v>387</v>
      </c>
      <c r="D7141" s="117" t="s">
        <v>388</v>
      </c>
      <c r="E7141" s="118"/>
      <c r="F7141" s="118"/>
      <c r="G7141" s="165"/>
      <c r="H7141" s="144">
        <f>IF(AND(D7141&lt;&gt;"",F7141&lt;&gt;""),IF(C7141="",IF(F7141="OH",VLOOKUP(D7141,[1]UPAH!$B$3:$G$32,7,0),VLOOKUP(D7141,[1]BAHAN!$A$2:$D$3,4,0)),0),0)</f>
        <v>0</v>
      </c>
      <c r="I7141" s="126">
        <f>G7141*H7141</f>
        <v>0</v>
      </c>
    </row>
    <row r="7142" spans="2:10" ht="15.95" customHeight="1" thickBot="1" x14ac:dyDescent="0.3">
      <c r="C7142" s="132"/>
      <c r="D7142" s="133"/>
      <c r="E7142" s="134"/>
      <c r="F7142" s="134"/>
      <c r="G7142" s="135" t="s">
        <v>389</v>
      </c>
      <c r="H7142" s="136"/>
      <c r="I7142" s="137">
        <f>I7141</f>
        <v>0</v>
      </c>
    </row>
    <row r="7143" spans="2:10" ht="15.95" customHeight="1" x14ac:dyDescent="0.25">
      <c r="C7143" s="158" t="s">
        <v>390</v>
      </c>
      <c r="D7143" s="159" t="s">
        <v>391</v>
      </c>
      <c r="E7143" s="160"/>
      <c r="F7143" s="160"/>
      <c r="G7143" s="161"/>
      <c r="H7143" s="162">
        <f>IF(AND(D7143&lt;&gt;"",F7143&lt;&gt;""),IF(C7143="",IF(F7143="OH",VLOOKUP(D7143,[1]UPAH!$B$3:$G$32,7,0),VLOOKUP(D7143,[1]BAHAN!$A$2:$D$3,4,0)),0),0)</f>
        <v>0</v>
      </c>
      <c r="I7143" s="126">
        <f>SUM(I7132:I7142)/2</f>
        <v>39861.399999999994</v>
      </c>
    </row>
    <row r="7144" spans="2:10" ht="15.95" customHeight="1" thickBot="1" x14ac:dyDescent="0.3">
      <c r="C7144" s="147" t="s">
        <v>392</v>
      </c>
      <c r="D7144" s="148" t="s">
        <v>393</v>
      </c>
      <c r="E7144" s="149"/>
      <c r="F7144" s="149"/>
      <c r="G7144" s="164">
        <v>0.1</v>
      </c>
      <c r="H7144" s="151"/>
      <c r="I7144" s="146">
        <f>G7144*I7143</f>
        <v>3986.1399999999994</v>
      </c>
    </row>
    <row r="7145" spans="2:10" ht="15.95" customHeight="1" thickBot="1" x14ac:dyDescent="0.3">
      <c r="C7145" s="111" t="s">
        <v>394</v>
      </c>
      <c r="D7145" s="112" t="s">
        <v>395</v>
      </c>
      <c r="E7145" s="134"/>
      <c r="F7145" s="134"/>
      <c r="G7145" s="156"/>
      <c r="H7145" s="136">
        <f>IF(AND(D7145&lt;&gt;"",F7145&lt;&gt;""),IF(C7145="",IF(F7145="OH",VLOOKUP(D7145,[1]UPAH!$B$3:$G$32,7,0),VLOOKUP(D7145,[1]BAHAN!$A$2:$D$3,4,0)),0),0)</f>
        <v>0</v>
      </c>
      <c r="I7145" s="137">
        <f>ROUNDDOWN(I7143+I7144,0)</f>
        <v>43847</v>
      </c>
    </row>
    <row r="7146" spans="2:10" ht="15.95" customHeight="1" x14ac:dyDescent="0.25">
      <c r="C7146" s="109"/>
      <c r="D7146" s="109"/>
      <c r="G7146" s="157"/>
    </row>
    <row r="7147" spans="2:10" ht="15.95" customHeight="1" thickBot="1" x14ac:dyDescent="0.3">
      <c r="B7147" s="109" t="s">
        <v>1510</v>
      </c>
      <c r="C7147" s="104" t="s">
        <v>1511</v>
      </c>
      <c r="G7147" s="157"/>
      <c r="J7147" s="110">
        <f>I7165</f>
        <v>82655</v>
      </c>
    </row>
    <row r="7148" spans="2:10" ht="15.95" customHeight="1" thickBot="1" x14ac:dyDescent="0.3">
      <c r="C7148" s="111" t="s">
        <v>328</v>
      </c>
      <c r="D7148" s="112" t="s">
        <v>359</v>
      </c>
      <c r="E7148" s="113" t="s">
        <v>360</v>
      </c>
      <c r="F7148" s="113" t="s">
        <v>330</v>
      </c>
      <c r="G7148" s="114" t="s">
        <v>361</v>
      </c>
      <c r="H7148" s="112" t="s">
        <v>362</v>
      </c>
      <c r="I7148" s="115" t="s">
        <v>363</v>
      </c>
    </row>
    <row r="7149" spans="2:10" ht="15.95" customHeight="1" x14ac:dyDescent="0.25">
      <c r="C7149" s="116" t="s">
        <v>364</v>
      </c>
      <c r="D7149" s="117" t="s">
        <v>365</v>
      </c>
      <c r="E7149" s="118"/>
      <c r="F7149" s="118"/>
      <c r="G7149" s="165"/>
      <c r="H7149" s="144"/>
      <c r="I7149" s="126"/>
    </row>
    <row r="7150" spans="2:10" ht="15.95" customHeight="1" x14ac:dyDescent="0.25">
      <c r="C7150" s="122"/>
      <c r="D7150" s="117" t="s">
        <v>366</v>
      </c>
      <c r="E7150" s="123" t="s">
        <v>367</v>
      </c>
      <c r="F7150" s="123" t="s">
        <v>368</v>
      </c>
      <c r="G7150" s="242">
        <v>0.25</v>
      </c>
      <c r="H7150" s="125">
        <f>VLOOKUP(D7150,Upah,8,FALSE)</f>
        <v>125000</v>
      </c>
      <c r="I7150" s="126">
        <f>G7150*H7150</f>
        <v>31250</v>
      </c>
    </row>
    <row r="7151" spans="2:10" ht="15.95" customHeight="1" x14ac:dyDescent="0.25">
      <c r="C7151" s="122"/>
      <c r="D7151" s="117" t="s">
        <v>1463</v>
      </c>
      <c r="E7151" s="123" t="s">
        <v>1464</v>
      </c>
      <c r="F7151" s="123" t="s">
        <v>368</v>
      </c>
      <c r="G7151" s="242">
        <v>0.22500000000000001</v>
      </c>
      <c r="H7151" s="125">
        <f>VLOOKUP(D7151,Upah,8,FALSE)</f>
        <v>150000</v>
      </c>
      <c r="I7151" s="126">
        <f>G7151*H7151</f>
        <v>33750</v>
      </c>
    </row>
    <row r="7152" spans="2:10" ht="15.95" customHeight="1" x14ac:dyDescent="0.25">
      <c r="C7152" s="122"/>
      <c r="D7152" s="117" t="s">
        <v>429</v>
      </c>
      <c r="E7152" s="123" t="s">
        <v>372</v>
      </c>
      <c r="F7152" s="123" t="s">
        <v>368</v>
      </c>
      <c r="G7152" s="242">
        <v>2.2499999999999999E-2</v>
      </c>
      <c r="H7152" s="125">
        <f>VLOOKUP(D7152,Upah,8,FALSE)</f>
        <v>165000</v>
      </c>
      <c r="I7152" s="126">
        <f>G7152*H7152</f>
        <v>3712.5</v>
      </c>
    </row>
    <row r="7153" spans="2:10" ht="15.95" customHeight="1" thickBot="1" x14ac:dyDescent="0.3">
      <c r="C7153" s="122"/>
      <c r="D7153" s="117" t="s">
        <v>373</v>
      </c>
      <c r="E7153" s="123" t="s">
        <v>374</v>
      </c>
      <c r="F7153" s="123" t="s">
        <v>368</v>
      </c>
      <c r="G7153" s="242">
        <v>7.4999999999999997E-3</v>
      </c>
      <c r="H7153" s="125">
        <f>VLOOKUP(D7153,Upah,8,FALSE)</f>
        <v>170000</v>
      </c>
      <c r="I7153" s="126">
        <f>G7153*H7153</f>
        <v>1275</v>
      </c>
    </row>
    <row r="7154" spans="2:10" ht="15.95" customHeight="1" thickBot="1" x14ac:dyDescent="0.3">
      <c r="C7154" s="132"/>
      <c r="D7154" s="133"/>
      <c r="E7154" s="134"/>
      <c r="F7154" s="134"/>
      <c r="G7154" s="135" t="s">
        <v>375</v>
      </c>
      <c r="H7154" s="136"/>
      <c r="I7154" s="137">
        <f>SUM(I7150:I7153)</f>
        <v>69987.5</v>
      </c>
    </row>
    <row r="7155" spans="2:10" ht="15.95" customHeight="1" x14ac:dyDescent="0.25">
      <c r="C7155" s="116" t="s">
        <v>376</v>
      </c>
      <c r="D7155" s="117" t="s">
        <v>377</v>
      </c>
      <c r="E7155" s="118"/>
      <c r="F7155" s="118"/>
      <c r="G7155" s="165"/>
      <c r="H7155" s="144"/>
      <c r="I7155" s="126"/>
    </row>
    <row r="7156" spans="2:10" ht="15.95" customHeight="1" x14ac:dyDescent="0.25">
      <c r="C7156" s="122"/>
      <c r="D7156" s="117" t="s">
        <v>1509</v>
      </c>
      <c r="E7156" s="118"/>
      <c r="F7156" s="123" t="s">
        <v>159</v>
      </c>
      <c r="G7156" s="242">
        <v>0.1</v>
      </c>
      <c r="H7156" s="144">
        <f>VLOOKUP(D7156,Bahan,6,FALSE)</f>
        <v>34290</v>
      </c>
      <c r="I7156" s="126">
        <f>G7156*H7156</f>
        <v>3429</v>
      </c>
    </row>
    <row r="7157" spans="2:10" ht="15.95" customHeight="1" x14ac:dyDescent="0.25">
      <c r="C7157" s="122"/>
      <c r="D7157" s="117" t="s">
        <v>1470</v>
      </c>
      <c r="E7157" s="118"/>
      <c r="F7157" s="123" t="s">
        <v>636</v>
      </c>
      <c r="G7157" s="242">
        <v>0.01</v>
      </c>
      <c r="H7157" s="144">
        <f>VLOOKUP(D7157,Bahan,6,FALSE)</f>
        <v>42000</v>
      </c>
      <c r="I7157" s="126">
        <f>G7157*H7157</f>
        <v>420</v>
      </c>
    </row>
    <row r="7158" spans="2:10" ht="15.95" customHeight="1" x14ac:dyDescent="0.25">
      <c r="C7158" s="122"/>
      <c r="D7158" s="117" t="s">
        <v>1469</v>
      </c>
      <c r="E7158" s="118"/>
      <c r="F7158" s="123" t="s">
        <v>418</v>
      </c>
      <c r="G7158" s="242">
        <v>0.01</v>
      </c>
      <c r="H7158" s="144">
        <f>VLOOKUP(D7158,Bahan,6,FALSE)</f>
        <v>20740</v>
      </c>
      <c r="I7158" s="126">
        <f>G7158*H7158</f>
        <v>207.4</v>
      </c>
    </row>
    <row r="7159" spans="2:10" ht="15.95" customHeight="1" thickBot="1" x14ac:dyDescent="0.3">
      <c r="C7159" s="122"/>
      <c r="D7159" s="117" t="s">
        <v>1512</v>
      </c>
      <c r="E7159" s="118"/>
      <c r="F7159" s="123" t="s">
        <v>158</v>
      </c>
      <c r="G7159" s="242">
        <v>2E-3</v>
      </c>
      <c r="H7159" s="144">
        <f>ROUNDDOWN(I237+I238,0)</f>
        <v>548811</v>
      </c>
      <c r="I7159" s="126">
        <f>G7159*H7159</f>
        <v>1097.6220000000001</v>
      </c>
    </row>
    <row r="7160" spans="2:10" ht="15.95" customHeight="1" thickBot="1" x14ac:dyDescent="0.3">
      <c r="C7160" s="132"/>
      <c r="D7160" s="133"/>
      <c r="E7160" s="134"/>
      <c r="F7160" s="134"/>
      <c r="G7160" s="135" t="s">
        <v>386</v>
      </c>
      <c r="H7160" s="136"/>
      <c r="I7160" s="137">
        <f>SUM(I7156:I7159)</f>
        <v>5154.0219999999999</v>
      </c>
    </row>
    <row r="7161" spans="2:10" ht="15.95" customHeight="1" thickBot="1" x14ac:dyDescent="0.3">
      <c r="C7161" s="116" t="s">
        <v>387</v>
      </c>
      <c r="D7161" s="117" t="s">
        <v>388</v>
      </c>
      <c r="E7161" s="118"/>
      <c r="F7161" s="118"/>
      <c r="G7161" s="165"/>
      <c r="H7161" s="144">
        <f>IF(AND(D7161&lt;&gt;"",F7161&lt;&gt;""),IF(C7161="",IF(F7161="OH",VLOOKUP(D7161,[1]UPAH!$B$3:$G$32,7,0),VLOOKUP(D7161,[1]BAHAN!$A$2:$D$3,4,0)),0),0)</f>
        <v>0</v>
      </c>
      <c r="I7161" s="126">
        <f>G7161*H7161</f>
        <v>0</v>
      </c>
    </row>
    <row r="7162" spans="2:10" ht="15.95" customHeight="1" thickBot="1" x14ac:dyDescent="0.3">
      <c r="C7162" s="132"/>
      <c r="D7162" s="133"/>
      <c r="E7162" s="134"/>
      <c r="F7162" s="134"/>
      <c r="G7162" s="135" t="s">
        <v>389</v>
      </c>
      <c r="H7162" s="136"/>
      <c r="I7162" s="137">
        <f>I7161</f>
        <v>0</v>
      </c>
    </row>
    <row r="7163" spans="2:10" ht="15.95" customHeight="1" x14ac:dyDescent="0.25">
      <c r="C7163" s="158" t="s">
        <v>390</v>
      </c>
      <c r="D7163" s="159" t="s">
        <v>391</v>
      </c>
      <c r="E7163" s="160"/>
      <c r="F7163" s="160"/>
      <c r="G7163" s="161"/>
      <c r="H7163" s="162">
        <f>IF(AND(D7163&lt;&gt;"",F7163&lt;&gt;""),IF(C7163="",IF(F7163="OH",VLOOKUP(D7163,[1]UPAH!$B$3:$G$32,7,0),VLOOKUP(D7163,[1]BAHAN!$A$2:$D$3,4,0)),0),0)</f>
        <v>0</v>
      </c>
      <c r="I7163" s="126">
        <f>SUM(I7150:I7162)/2</f>
        <v>75141.521999999997</v>
      </c>
    </row>
    <row r="7164" spans="2:10" ht="15.95" customHeight="1" thickBot="1" x14ac:dyDescent="0.3">
      <c r="C7164" s="147" t="s">
        <v>392</v>
      </c>
      <c r="D7164" s="148" t="s">
        <v>393</v>
      </c>
      <c r="E7164" s="149"/>
      <c r="F7164" s="149"/>
      <c r="G7164" s="164">
        <v>0.1</v>
      </c>
      <c r="H7164" s="151"/>
      <c r="I7164" s="146">
        <f>G7164*I7163</f>
        <v>7514.1522000000004</v>
      </c>
    </row>
    <row r="7165" spans="2:10" ht="15.95" customHeight="1" thickBot="1" x14ac:dyDescent="0.3">
      <c r="C7165" s="111" t="s">
        <v>394</v>
      </c>
      <c r="D7165" s="112" t="s">
        <v>395</v>
      </c>
      <c r="E7165" s="134"/>
      <c r="F7165" s="134"/>
      <c r="G7165" s="156"/>
      <c r="H7165" s="136">
        <f>IF(AND(D7165&lt;&gt;"",F7165&lt;&gt;""),IF(C7165="",IF(F7165="OH",VLOOKUP(D7165,[1]UPAH!$B$3:$G$32,7,0),VLOOKUP(D7165,[1]BAHAN!$A$2:$D$3,4,0)),0),0)</f>
        <v>0</v>
      </c>
      <c r="I7165" s="137">
        <f>ROUNDDOWN(I7163+I7164,0)</f>
        <v>82655</v>
      </c>
    </row>
    <row r="7166" spans="2:10" ht="15.95" customHeight="1" x14ac:dyDescent="0.25">
      <c r="C7166" s="109"/>
      <c r="D7166" s="109"/>
      <c r="G7166" s="157"/>
    </row>
    <row r="7167" spans="2:10" ht="15.95" customHeight="1" thickBot="1" x14ac:dyDescent="0.3">
      <c r="B7167" s="109" t="s">
        <v>1513</v>
      </c>
      <c r="C7167" s="104" t="s">
        <v>1514</v>
      </c>
      <c r="G7167" s="157"/>
      <c r="J7167" s="110">
        <f>I7186</f>
        <v>95422</v>
      </c>
    </row>
    <row r="7168" spans="2:10" ht="15.95" customHeight="1" thickBot="1" x14ac:dyDescent="0.3">
      <c r="C7168" s="111" t="s">
        <v>328</v>
      </c>
      <c r="D7168" s="112" t="s">
        <v>359</v>
      </c>
      <c r="E7168" s="113" t="s">
        <v>360</v>
      </c>
      <c r="F7168" s="113" t="s">
        <v>330</v>
      </c>
      <c r="G7168" s="114" t="s">
        <v>361</v>
      </c>
      <c r="H7168" s="112" t="s">
        <v>362</v>
      </c>
      <c r="I7168" s="115" t="s">
        <v>363</v>
      </c>
    </row>
    <row r="7169" spans="3:9" ht="15.95" customHeight="1" x14ac:dyDescent="0.25">
      <c r="C7169" s="116" t="s">
        <v>364</v>
      </c>
      <c r="D7169" s="117" t="s">
        <v>365</v>
      </c>
      <c r="E7169" s="118"/>
      <c r="F7169" s="118"/>
      <c r="G7169" s="165"/>
      <c r="H7169" s="144"/>
      <c r="I7169" s="126"/>
    </row>
    <row r="7170" spans="3:9" ht="15.95" customHeight="1" x14ac:dyDescent="0.25">
      <c r="C7170" s="122"/>
      <c r="D7170" s="117" t="s">
        <v>366</v>
      </c>
      <c r="E7170" s="123" t="s">
        <v>367</v>
      </c>
      <c r="F7170" s="123" t="s">
        <v>368</v>
      </c>
      <c r="G7170" s="242">
        <v>0.25</v>
      </c>
      <c r="H7170" s="125">
        <f>VLOOKUP(D7170,Upah,8,FALSE)</f>
        <v>125000</v>
      </c>
      <c r="I7170" s="126">
        <f>G7170*H7170</f>
        <v>31250</v>
      </c>
    </row>
    <row r="7171" spans="3:9" ht="15.95" customHeight="1" x14ac:dyDescent="0.25">
      <c r="C7171" s="122"/>
      <c r="D7171" s="117" t="s">
        <v>1463</v>
      </c>
      <c r="E7171" s="123" t="s">
        <v>1464</v>
      </c>
      <c r="F7171" s="123" t="s">
        <v>368</v>
      </c>
      <c r="G7171" s="242">
        <v>0.25</v>
      </c>
      <c r="H7171" s="125">
        <f>VLOOKUP(D7171,Upah,8,FALSE)</f>
        <v>150000</v>
      </c>
      <c r="I7171" s="126">
        <f>G7171*H7171</f>
        <v>37500</v>
      </c>
    </row>
    <row r="7172" spans="3:9" ht="15.95" customHeight="1" x14ac:dyDescent="0.25">
      <c r="C7172" s="122"/>
      <c r="D7172" s="117" t="s">
        <v>429</v>
      </c>
      <c r="E7172" s="123" t="s">
        <v>372</v>
      </c>
      <c r="F7172" s="123" t="s">
        <v>368</v>
      </c>
      <c r="G7172" s="242">
        <v>2.5000000000000001E-2</v>
      </c>
      <c r="H7172" s="125">
        <f>VLOOKUP(D7172,Upah,8,FALSE)</f>
        <v>165000</v>
      </c>
      <c r="I7172" s="126">
        <f>G7172*H7172</f>
        <v>4125</v>
      </c>
    </row>
    <row r="7173" spans="3:9" ht="15.95" customHeight="1" thickBot="1" x14ac:dyDescent="0.3">
      <c r="C7173" s="122"/>
      <c r="D7173" s="117" t="s">
        <v>373</v>
      </c>
      <c r="E7173" s="123" t="s">
        <v>374</v>
      </c>
      <c r="F7173" s="123" t="s">
        <v>368</v>
      </c>
      <c r="G7173" s="242">
        <v>1.2999999999999999E-3</v>
      </c>
      <c r="H7173" s="125">
        <f>VLOOKUP(D7173,Upah,8,FALSE)</f>
        <v>170000</v>
      </c>
      <c r="I7173" s="126">
        <f>G7173*H7173</f>
        <v>221</v>
      </c>
    </row>
    <row r="7174" spans="3:9" ht="15.95" customHeight="1" thickBot="1" x14ac:dyDescent="0.3">
      <c r="C7174" s="132"/>
      <c r="D7174" s="133"/>
      <c r="E7174" s="134"/>
      <c r="F7174" s="134"/>
      <c r="G7174" s="135" t="s">
        <v>375</v>
      </c>
      <c r="H7174" s="136"/>
      <c r="I7174" s="137">
        <f>SUM(I7170:I7173)</f>
        <v>73096</v>
      </c>
    </row>
    <row r="7175" spans="3:9" ht="15.95" customHeight="1" x14ac:dyDescent="0.25">
      <c r="C7175" s="116" t="s">
        <v>376</v>
      </c>
      <c r="D7175" s="117" t="s">
        <v>377</v>
      </c>
      <c r="E7175" s="118"/>
      <c r="F7175" s="118"/>
      <c r="G7175" s="165"/>
      <c r="H7175" s="144"/>
      <c r="I7175" s="126"/>
    </row>
    <row r="7176" spans="3:9" ht="15.95" customHeight="1" x14ac:dyDescent="0.25">
      <c r="C7176" s="122"/>
      <c r="D7176" s="117" t="s">
        <v>1515</v>
      </c>
      <c r="E7176" s="118"/>
      <c r="F7176" s="123" t="s">
        <v>159</v>
      </c>
      <c r="G7176" s="242">
        <v>0.1</v>
      </c>
      <c r="H7176" s="144">
        <f>VLOOKUP(D7176,Bahan,6,FALSE)</f>
        <v>38080</v>
      </c>
      <c r="I7176" s="126">
        <f>G7176*H7176</f>
        <v>3808</v>
      </c>
    </row>
    <row r="7177" spans="3:9" ht="15.95" customHeight="1" x14ac:dyDescent="0.25">
      <c r="C7177" s="122"/>
      <c r="D7177" s="117" t="s">
        <v>1516</v>
      </c>
      <c r="E7177" s="118"/>
      <c r="F7177" s="123" t="s">
        <v>159</v>
      </c>
      <c r="G7177" s="242">
        <v>0.1</v>
      </c>
      <c r="H7177" s="144">
        <f>VLOOKUP(D7177,Bahan,6,FALSE)</f>
        <v>45360</v>
      </c>
      <c r="I7177" s="126">
        <f>G7177*H7177</f>
        <v>4536</v>
      </c>
    </row>
    <row r="7178" spans="3:9" ht="15.95" customHeight="1" x14ac:dyDescent="0.25">
      <c r="C7178" s="122"/>
      <c r="D7178" s="117" t="s">
        <v>1517</v>
      </c>
      <c r="E7178" s="118"/>
      <c r="F7178" s="123" t="s">
        <v>159</v>
      </c>
      <c r="G7178" s="242">
        <v>0.08</v>
      </c>
      <c r="H7178" s="144">
        <f>VLOOKUP(D7178,Bahan,6,FALSE)</f>
        <v>58500</v>
      </c>
      <c r="I7178" s="126">
        <f>G7178*H7178</f>
        <v>4680</v>
      </c>
    </row>
    <row r="7179" spans="3:9" ht="15.95" customHeight="1" x14ac:dyDescent="0.25">
      <c r="C7179" s="122"/>
      <c r="D7179" s="117" t="s">
        <v>1469</v>
      </c>
      <c r="E7179" s="118"/>
      <c r="F7179" s="123" t="s">
        <v>418</v>
      </c>
      <c r="G7179" s="242">
        <v>0.01</v>
      </c>
      <c r="H7179" s="144">
        <f>VLOOKUP(D7179,Bahan,6,FALSE)</f>
        <v>20740</v>
      </c>
      <c r="I7179" s="126">
        <f>G7179*H7179</f>
        <v>207.4</v>
      </c>
    </row>
    <row r="7180" spans="3:9" ht="15.95" customHeight="1" thickBot="1" x14ac:dyDescent="0.3">
      <c r="C7180" s="122"/>
      <c r="D7180" s="117" t="s">
        <v>1470</v>
      </c>
      <c r="E7180" s="118"/>
      <c r="F7180" s="123" t="s">
        <v>636</v>
      </c>
      <c r="G7180" s="242">
        <v>0.01</v>
      </c>
      <c r="H7180" s="144">
        <f>VLOOKUP(D7180,Bahan,6,FALSE)</f>
        <v>42000</v>
      </c>
      <c r="I7180" s="126">
        <f>G7180*H7180</f>
        <v>420</v>
      </c>
    </row>
    <row r="7181" spans="3:9" ht="15.95" customHeight="1" thickBot="1" x14ac:dyDescent="0.3">
      <c r="C7181" s="132"/>
      <c r="D7181" s="133"/>
      <c r="E7181" s="134"/>
      <c r="F7181" s="134"/>
      <c r="G7181" s="135" t="s">
        <v>386</v>
      </c>
      <c r="H7181" s="136"/>
      <c r="I7181" s="137">
        <f>SUM(I7176:I7180)</f>
        <v>13651.4</v>
      </c>
    </row>
    <row r="7182" spans="3:9" ht="15.95" customHeight="1" thickBot="1" x14ac:dyDescent="0.3">
      <c r="C7182" s="116" t="s">
        <v>387</v>
      </c>
      <c r="D7182" s="117" t="s">
        <v>388</v>
      </c>
      <c r="E7182" s="118"/>
      <c r="F7182" s="118"/>
      <c r="G7182" s="165"/>
      <c r="H7182" s="144">
        <f>IF(AND(D7182&lt;&gt;"",F7182&lt;&gt;""),IF(C7182="",IF(F7182="OH",VLOOKUP(D7182,[1]UPAH!$B$3:$G$32,7,0),VLOOKUP(D7182,[1]BAHAN!$A$2:$D$3,4,0)),0),0)</f>
        <v>0</v>
      </c>
      <c r="I7182" s="126">
        <f>G7182*H7182</f>
        <v>0</v>
      </c>
    </row>
    <row r="7183" spans="3:9" ht="15.95" customHeight="1" thickBot="1" x14ac:dyDescent="0.3">
      <c r="C7183" s="132"/>
      <c r="D7183" s="133"/>
      <c r="E7183" s="134"/>
      <c r="F7183" s="134"/>
      <c r="G7183" s="135" t="s">
        <v>389</v>
      </c>
      <c r="H7183" s="136"/>
      <c r="I7183" s="137">
        <f>I7182</f>
        <v>0</v>
      </c>
    </row>
    <row r="7184" spans="3:9" ht="15.95" customHeight="1" x14ac:dyDescent="0.25">
      <c r="C7184" s="158" t="s">
        <v>390</v>
      </c>
      <c r="D7184" s="159" t="s">
        <v>391</v>
      </c>
      <c r="E7184" s="160"/>
      <c r="F7184" s="160"/>
      <c r="G7184" s="161"/>
      <c r="H7184" s="162">
        <f>IF(AND(D7184&lt;&gt;"",F7184&lt;&gt;""),IF(C7184="",IF(F7184="OH",VLOOKUP(D7184,[1]UPAH!$B$3:$G$32,7,0),VLOOKUP(D7184,[1]BAHAN!$A$2:$D$3,4,0)),0),0)</f>
        <v>0</v>
      </c>
      <c r="I7184" s="126">
        <f>SUM(I7170:I7183)/2</f>
        <v>86747.4</v>
      </c>
    </row>
    <row r="7185" spans="2:10" ht="15.95" customHeight="1" thickBot="1" x14ac:dyDescent="0.3">
      <c r="C7185" s="147" t="s">
        <v>392</v>
      </c>
      <c r="D7185" s="148" t="s">
        <v>393</v>
      </c>
      <c r="E7185" s="149"/>
      <c r="F7185" s="149"/>
      <c r="G7185" s="164">
        <v>0.1</v>
      </c>
      <c r="H7185" s="151"/>
      <c r="I7185" s="146">
        <f>G7185*I7184</f>
        <v>8674.74</v>
      </c>
    </row>
    <row r="7186" spans="2:10" ht="15.95" customHeight="1" thickBot="1" x14ac:dyDescent="0.3">
      <c r="C7186" s="111" t="s">
        <v>394</v>
      </c>
      <c r="D7186" s="112" t="s">
        <v>395</v>
      </c>
      <c r="E7186" s="134"/>
      <c r="F7186" s="134"/>
      <c r="G7186" s="156"/>
      <c r="H7186" s="136">
        <f>IF(AND(D7186&lt;&gt;"",F7186&lt;&gt;""),IF(C7186="",IF(F7186="OH",VLOOKUP(D7186,[1]UPAH!$B$3:$G$32,7,0),VLOOKUP(D7186,[1]BAHAN!$A$2:$D$3,4,0)),0),0)</f>
        <v>0</v>
      </c>
      <c r="I7186" s="137">
        <f>ROUNDDOWN(I7184+I7185,0)</f>
        <v>95422</v>
      </c>
    </row>
    <row r="7187" spans="2:10" ht="15.95" customHeight="1" x14ac:dyDescent="0.25">
      <c r="C7187" s="109"/>
      <c r="D7187" s="109"/>
      <c r="G7187" s="157"/>
    </row>
    <row r="7188" spans="2:10" ht="15.95" customHeight="1" thickBot="1" x14ac:dyDescent="0.3">
      <c r="B7188" s="109" t="s">
        <v>1518</v>
      </c>
      <c r="C7188" s="104" t="s">
        <v>1519</v>
      </c>
      <c r="G7188" s="157"/>
      <c r="J7188" s="110">
        <f>I7205</f>
        <v>40884</v>
      </c>
    </row>
    <row r="7189" spans="2:10" ht="15.95" customHeight="1" thickBot="1" x14ac:dyDescent="0.3">
      <c r="C7189" s="111" t="s">
        <v>328</v>
      </c>
      <c r="D7189" s="112" t="s">
        <v>359</v>
      </c>
      <c r="E7189" s="113" t="s">
        <v>360</v>
      </c>
      <c r="F7189" s="113" t="s">
        <v>330</v>
      </c>
      <c r="G7189" s="114" t="s">
        <v>361</v>
      </c>
      <c r="H7189" s="112" t="s">
        <v>362</v>
      </c>
      <c r="I7189" s="115" t="s">
        <v>363</v>
      </c>
    </row>
    <row r="7190" spans="2:10" ht="15.95" customHeight="1" x14ac:dyDescent="0.25">
      <c r="C7190" s="116" t="s">
        <v>364</v>
      </c>
      <c r="D7190" s="117" t="s">
        <v>365</v>
      </c>
      <c r="E7190" s="118"/>
      <c r="F7190" s="118"/>
      <c r="G7190" s="165"/>
      <c r="H7190" s="144"/>
      <c r="I7190" s="126"/>
    </row>
    <row r="7191" spans="2:10" ht="15.95" customHeight="1" x14ac:dyDescent="0.25">
      <c r="C7191" s="122"/>
      <c r="D7191" s="117" t="s">
        <v>366</v>
      </c>
      <c r="E7191" s="123" t="s">
        <v>367</v>
      </c>
      <c r="F7191" s="123" t="s">
        <v>368</v>
      </c>
      <c r="G7191" s="242">
        <v>0.06</v>
      </c>
      <c r="H7191" s="243">
        <f>VLOOKUP(D7191,Upah,8,FALSE)</f>
        <v>125000</v>
      </c>
      <c r="I7191" s="126">
        <f>G7191*H7191</f>
        <v>7500</v>
      </c>
    </row>
    <row r="7192" spans="2:10" ht="15.95" customHeight="1" x14ac:dyDescent="0.25">
      <c r="C7192" s="122"/>
      <c r="D7192" s="117" t="s">
        <v>1463</v>
      </c>
      <c r="E7192" s="123" t="s">
        <v>1464</v>
      </c>
      <c r="F7192" s="123" t="s">
        <v>368</v>
      </c>
      <c r="G7192" s="242">
        <v>0.06</v>
      </c>
      <c r="H7192" s="243">
        <f>VLOOKUP(D7192,Upah,8,FALSE)</f>
        <v>150000</v>
      </c>
      <c r="I7192" s="126">
        <f>G7192*H7192</f>
        <v>9000</v>
      </c>
    </row>
    <row r="7193" spans="2:10" ht="15.95" customHeight="1" x14ac:dyDescent="0.25">
      <c r="C7193" s="122"/>
      <c r="D7193" s="117" t="s">
        <v>429</v>
      </c>
      <c r="E7193" s="123" t="s">
        <v>372</v>
      </c>
      <c r="F7193" s="123" t="s">
        <v>368</v>
      </c>
      <c r="G7193" s="242">
        <v>1.2E-2</v>
      </c>
      <c r="H7193" s="243">
        <f>VLOOKUP(D7193,Upah,8,FALSE)</f>
        <v>165000</v>
      </c>
      <c r="I7193" s="126">
        <f>G7193*H7193</f>
        <v>1980</v>
      </c>
    </row>
    <row r="7194" spans="2:10" ht="15.95" customHeight="1" thickBot="1" x14ac:dyDescent="0.3">
      <c r="C7194" s="122"/>
      <c r="D7194" s="117" t="s">
        <v>373</v>
      </c>
      <c r="E7194" s="123" t="s">
        <v>374</v>
      </c>
      <c r="F7194" s="123" t="s">
        <v>368</v>
      </c>
      <c r="G7194" s="242">
        <v>3.0000000000000001E-3</v>
      </c>
      <c r="H7194" s="243">
        <f>VLOOKUP(D7194,Upah,8,FALSE)</f>
        <v>170000</v>
      </c>
      <c r="I7194" s="126">
        <f>G7194*H7194</f>
        <v>510</v>
      </c>
    </row>
    <row r="7195" spans="2:10" ht="15.95" customHeight="1" thickBot="1" x14ac:dyDescent="0.3">
      <c r="C7195" s="132"/>
      <c r="D7195" s="133"/>
      <c r="E7195" s="134"/>
      <c r="F7195" s="134"/>
      <c r="G7195" s="135" t="s">
        <v>375</v>
      </c>
      <c r="H7195" s="136"/>
      <c r="I7195" s="137">
        <f>SUM(I7191:I7194)</f>
        <v>18990</v>
      </c>
    </row>
    <row r="7196" spans="2:10" ht="15.95" customHeight="1" x14ac:dyDescent="0.25">
      <c r="C7196" s="116" t="s">
        <v>376</v>
      </c>
      <c r="D7196" s="117" t="s">
        <v>377</v>
      </c>
      <c r="E7196" s="118"/>
      <c r="F7196" s="118"/>
      <c r="G7196" s="165"/>
      <c r="H7196" s="144"/>
      <c r="I7196" s="126"/>
    </row>
    <row r="7197" spans="2:10" ht="15.95" customHeight="1" x14ac:dyDescent="0.25">
      <c r="C7197" s="122"/>
      <c r="D7197" s="117" t="s">
        <v>1517</v>
      </c>
      <c r="E7197" s="118"/>
      <c r="F7197" s="123" t="s">
        <v>159</v>
      </c>
      <c r="G7197" s="242">
        <v>0.3</v>
      </c>
      <c r="H7197" s="144">
        <f>VLOOKUP(D7197,Bahan,6,FALSE)</f>
        <v>58500</v>
      </c>
      <c r="I7197" s="126">
        <f>G7197*H7197</f>
        <v>17550</v>
      </c>
    </row>
    <row r="7198" spans="2:10" ht="15.95" customHeight="1" x14ac:dyDescent="0.25">
      <c r="C7198" s="122"/>
      <c r="D7198" s="117" t="s">
        <v>1469</v>
      </c>
      <c r="E7198" s="118"/>
      <c r="F7198" s="123" t="s">
        <v>418</v>
      </c>
      <c r="G7198" s="242">
        <v>0.01</v>
      </c>
      <c r="H7198" s="144">
        <f>VLOOKUP(D7198,Bahan,6,FALSE)</f>
        <v>20740</v>
      </c>
      <c r="I7198" s="126">
        <f>G7198*H7198</f>
        <v>207.4</v>
      </c>
    </row>
    <row r="7199" spans="2:10" ht="15.95" customHeight="1" thickBot="1" x14ac:dyDescent="0.3">
      <c r="C7199" s="122"/>
      <c r="D7199" s="117" t="s">
        <v>1470</v>
      </c>
      <c r="E7199" s="118"/>
      <c r="F7199" s="123" t="s">
        <v>636</v>
      </c>
      <c r="G7199" s="242">
        <v>0.01</v>
      </c>
      <c r="H7199" s="144">
        <f>VLOOKUP(D7199,Bahan,6,FALSE)</f>
        <v>42000</v>
      </c>
      <c r="I7199" s="126">
        <f>G7199*H7199</f>
        <v>420</v>
      </c>
    </row>
    <row r="7200" spans="2:10" ht="15.95" customHeight="1" thickBot="1" x14ac:dyDescent="0.3">
      <c r="C7200" s="132"/>
      <c r="D7200" s="133"/>
      <c r="E7200" s="134"/>
      <c r="F7200" s="134"/>
      <c r="G7200" s="135" t="s">
        <v>386</v>
      </c>
      <c r="H7200" s="136"/>
      <c r="I7200" s="137">
        <f>SUM(I7197:I7199)</f>
        <v>18177.400000000001</v>
      </c>
    </row>
    <row r="7201" spans="2:10" ht="15.95" customHeight="1" thickBot="1" x14ac:dyDescent="0.3">
      <c r="C7201" s="116" t="s">
        <v>387</v>
      </c>
      <c r="D7201" s="117" t="s">
        <v>388</v>
      </c>
      <c r="E7201" s="118"/>
      <c r="F7201" s="118"/>
      <c r="G7201" s="165"/>
      <c r="H7201" s="144">
        <f>IF(AND(D7201&lt;&gt;"",F7201&lt;&gt;""),IF(C7201="",IF(F7201="OH",VLOOKUP(D7201,[1]UPAH!$B$3:$G$32,7,0),VLOOKUP(D7201,[1]BAHAN!$A$2:$D$3,4,0)),0),0)</f>
        <v>0</v>
      </c>
      <c r="I7201" s="126">
        <f>G7201*H7201</f>
        <v>0</v>
      </c>
    </row>
    <row r="7202" spans="2:10" ht="15.95" customHeight="1" thickBot="1" x14ac:dyDescent="0.3">
      <c r="C7202" s="132"/>
      <c r="D7202" s="133"/>
      <c r="E7202" s="134"/>
      <c r="F7202" s="134"/>
      <c r="G7202" s="135" t="s">
        <v>389</v>
      </c>
      <c r="H7202" s="136"/>
      <c r="I7202" s="137">
        <f>I7201</f>
        <v>0</v>
      </c>
    </row>
    <row r="7203" spans="2:10" ht="15.95" customHeight="1" x14ac:dyDescent="0.25">
      <c r="C7203" s="158" t="s">
        <v>390</v>
      </c>
      <c r="D7203" s="159" t="s">
        <v>391</v>
      </c>
      <c r="E7203" s="160"/>
      <c r="F7203" s="160"/>
      <c r="G7203" s="161"/>
      <c r="H7203" s="162">
        <f>IF(AND(D7203&lt;&gt;"",F7203&lt;&gt;""),IF(C7203="",IF(F7203="OH",VLOOKUP(D7203,[1]UPAH!$B$3:$G$32,7,0),VLOOKUP(D7203,[1]BAHAN!$A$2:$D$3,4,0)),0),0)</f>
        <v>0</v>
      </c>
      <c r="I7203" s="126">
        <f>SUM(I7191:I7202)/2</f>
        <v>37167.4</v>
      </c>
    </row>
    <row r="7204" spans="2:10" ht="15.95" customHeight="1" thickBot="1" x14ac:dyDescent="0.3">
      <c r="C7204" s="147" t="s">
        <v>392</v>
      </c>
      <c r="D7204" s="148" t="s">
        <v>393</v>
      </c>
      <c r="E7204" s="149"/>
      <c r="F7204" s="149"/>
      <c r="G7204" s="244">
        <v>0.1</v>
      </c>
      <c r="H7204" s="151"/>
      <c r="I7204" s="146">
        <f>G7204*I7203</f>
        <v>3716.7400000000002</v>
      </c>
    </row>
    <row r="7205" spans="2:10" ht="15.95" customHeight="1" thickBot="1" x14ac:dyDescent="0.3">
      <c r="C7205" s="111" t="s">
        <v>394</v>
      </c>
      <c r="D7205" s="112" t="s">
        <v>395</v>
      </c>
      <c r="E7205" s="134"/>
      <c r="F7205" s="134"/>
      <c r="G7205" s="156"/>
      <c r="H7205" s="136">
        <f>IF(AND(D7205&lt;&gt;"",F7205&lt;&gt;""),IF(C7205="",IF(F7205="OH",VLOOKUP(D7205,[1]UPAH!$B$3:$G$32,7,0),VLOOKUP(D7205,[1]BAHAN!$A$2:$D$3,4,0)),0),0)</f>
        <v>0</v>
      </c>
      <c r="I7205" s="137">
        <f>ROUNDDOWN(I7203+I7204,0)</f>
        <v>40884</v>
      </c>
    </row>
    <row r="7206" spans="2:10" ht="15.95" customHeight="1" x14ac:dyDescent="0.25">
      <c r="C7206" s="109"/>
      <c r="D7206" s="109"/>
      <c r="G7206" s="157"/>
    </row>
    <row r="7207" spans="2:10" ht="15.95" customHeight="1" thickBot="1" x14ac:dyDescent="0.3">
      <c r="B7207" s="109" t="s">
        <v>1520</v>
      </c>
      <c r="C7207" s="104" t="s">
        <v>1521</v>
      </c>
      <c r="G7207" s="157"/>
      <c r="J7207" s="110">
        <f>I7226</f>
        <v>225865</v>
      </c>
    </row>
    <row r="7208" spans="2:10" ht="15.95" customHeight="1" thickBot="1" x14ac:dyDescent="0.3">
      <c r="C7208" s="111" t="s">
        <v>328</v>
      </c>
      <c r="D7208" s="112" t="s">
        <v>359</v>
      </c>
      <c r="E7208" s="113" t="s">
        <v>360</v>
      </c>
      <c r="F7208" s="113" t="s">
        <v>330</v>
      </c>
      <c r="G7208" s="114" t="s">
        <v>361</v>
      </c>
      <c r="H7208" s="112" t="s">
        <v>362</v>
      </c>
      <c r="I7208" s="115" t="s">
        <v>363</v>
      </c>
    </row>
    <row r="7209" spans="2:10" ht="15.95" customHeight="1" x14ac:dyDescent="0.25">
      <c r="C7209" s="116" t="s">
        <v>364</v>
      </c>
      <c r="D7209" s="117" t="s">
        <v>365</v>
      </c>
      <c r="E7209" s="118"/>
      <c r="F7209" s="118"/>
      <c r="G7209" s="165"/>
      <c r="H7209" s="144"/>
      <c r="I7209" s="126"/>
    </row>
    <row r="7210" spans="2:10" ht="15.95" customHeight="1" x14ac:dyDescent="0.25">
      <c r="C7210" s="122"/>
      <c r="D7210" s="117" t="s">
        <v>366</v>
      </c>
      <c r="E7210" s="123" t="s">
        <v>367</v>
      </c>
      <c r="F7210" s="123" t="s">
        <v>368</v>
      </c>
      <c r="G7210" s="242">
        <v>0.4</v>
      </c>
      <c r="H7210" s="243">
        <f>VLOOKUP(D7210,Upah,8,FALSE)</f>
        <v>125000</v>
      </c>
      <c r="I7210" s="126">
        <f>G7210*H7210</f>
        <v>50000</v>
      </c>
    </row>
    <row r="7211" spans="2:10" ht="15.95" customHeight="1" x14ac:dyDescent="0.25">
      <c r="C7211" s="122"/>
      <c r="D7211" s="117" t="s">
        <v>1463</v>
      </c>
      <c r="E7211" s="123" t="s">
        <v>1464</v>
      </c>
      <c r="F7211" s="123" t="s">
        <v>368</v>
      </c>
      <c r="G7211" s="242">
        <v>0.8</v>
      </c>
      <c r="H7211" s="243">
        <f>VLOOKUP(D7211,Upah,8,FALSE)</f>
        <v>150000</v>
      </c>
      <c r="I7211" s="126">
        <f>G7211*H7211</f>
        <v>120000</v>
      </c>
    </row>
    <row r="7212" spans="2:10" ht="15.95" customHeight="1" x14ac:dyDescent="0.25">
      <c r="C7212" s="122"/>
      <c r="D7212" s="117" t="s">
        <v>429</v>
      </c>
      <c r="E7212" s="123" t="s">
        <v>372</v>
      </c>
      <c r="F7212" s="123" t="s">
        <v>368</v>
      </c>
      <c r="G7212" s="242">
        <v>0.08</v>
      </c>
      <c r="H7212" s="243">
        <f>VLOOKUP(D7212,Upah,8,FALSE)</f>
        <v>165000</v>
      </c>
      <c r="I7212" s="126">
        <f>G7212*H7212</f>
        <v>13200</v>
      </c>
    </row>
    <row r="7213" spans="2:10" ht="15.95" customHeight="1" thickBot="1" x14ac:dyDescent="0.3">
      <c r="C7213" s="122"/>
      <c r="D7213" s="117" t="s">
        <v>373</v>
      </c>
      <c r="E7213" s="123" t="s">
        <v>374</v>
      </c>
      <c r="F7213" s="123" t="s">
        <v>368</v>
      </c>
      <c r="G7213" s="242">
        <v>0.02</v>
      </c>
      <c r="H7213" s="243">
        <f>VLOOKUP(D7213,Upah,8,FALSE)</f>
        <v>170000</v>
      </c>
      <c r="I7213" s="126">
        <f>G7213*H7213</f>
        <v>3400</v>
      </c>
    </row>
    <row r="7214" spans="2:10" ht="15.95" customHeight="1" thickBot="1" x14ac:dyDescent="0.3">
      <c r="C7214" s="132"/>
      <c r="D7214" s="133"/>
      <c r="E7214" s="134"/>
      <c r="F7214" s="134"/>
      <c r="G7214" s="135" t="s">
        <v>375</v>
      </c>
      <c r="H7214" s="136"/>
      <c r="I7214" s="137">
        <f>SUM(I7210:I7213)</f>
        <v>186600</v>
      </c>
    </row>
    <row r="7215" spans="2:10" ht="15.95" customHeight="1" x14ac:dyDescent="0.25">
      <c r="C7215" s="116" t="s">
        <v>376</v>
      </c>
      <c r="D7215" s="117" t="s">
        <v>377</v>
      </c>
      <c r="E7215" s="118"/>
      <c r="F7215" s="118"/>
      <c r="G7215" s="165"/>
      <c r="H7215" s="144"/>
      <c r="I7215" s="126"/>
    </row>
    <row r="7216" spans="2:10" ht="15.95" customHeight="1" x14ac:dyDescent="0.25">
      <c r="C7216" s="122"/>
      <c r="D7216" s="117" t="s">
        <v>1522</v>
      </c>
      <c r="E7216" s="118"/>
      <c r="F7216" s="123" t="s">
        <v>159</v>
      </c>
      <c r="G7216" s="242">
        <v>0.11</v>
      </c>
      <c r="H7216" s="144">
        <f>VLOOKUP(D7216,Bahan,6,FALSE)</f>
        <v>37200</v>
      </c>
      <c r="I7216" s="126">
        <f>G7216*H7216</f>
        <v>4092</v>
      </c>
    </row>
    <row r="7217" spans="2:10" ht="15.95" customHeight="1" x14ac:dyDescent="0.25">
      <c r="C7217" s="122"/>
      <c r="D7217" s="117" t="s">
        <v>1523</v>
      </c>
      <c r="E7217" s="118"/>
      <c r="F7217" s="123" t="s">
        <v>159</v>
      </c>
      <c r="G7217" s="242">
        <v>0.17</v>
      </c>
      <c r="H7217" s="144">
        <f>VLOOKUP(D7217,Bahan,6,FALSE)</f>
        <v>54900</v>
      </c>
      <c r="I7217" s="126">
        <f>G7217*H7217</f>
        <v>9333</v>
      </c>
    </row>
    <row r="7218" spans="2:10" ht="15.95" customHeight="1" x14ac:dyDescent="0.25">
      <c r="C7218" s="122"/>
      <c r="D7218" s="117" t="s">
        <v>1517</v>
      </c>
      <c r="E7218" s="118"/>
      <c r="F7218" s="123" t="s">
        <v>159</v>
      </c>
      <c r="G7218" s="242">
        <v>0.08</v>
      </c>
      <c r="H7218" s="144">
        <f>VLOOKUP(D7218,Bahan,6,FALSE)</f>
        <v>58500</v>
      </c>
      <c r="I7218" s="126">
        <f>G7218*H7218</f>
        <v>4680</v>
      </c>
    </row>
    <row r="7219" spans="2:10" ht="15.95" customHeight="1" x14ac:dyDescent="0.25">
      <c r="C7219" s="122"/>
      <c r="D7219" s="117" t="s">
        <v>1469</v>
      </c>
      <c r="E7219" s="118"/>
      <c r="F7219" s="123" t="s">
        <v>418</v>
      </c>
      <c r="G7219" s="242">
        <v>0.01</v>
      </c>
      <c r="H7219" s="144">
        <f>VLOOKUP(D7219,Bahan,6,FALSE)</f>
        <v>20740</v>
      </c>
      <c r="I7219" s="126">
        <f>G7219*H7219</f>
        <v>207.4</v>
      </c>
    </row>
    <row r="7220" spans="2:10" ht="15.95" customHeight="1" thickBot="1" x14ac:dyDescent="0.3">
      <c r="C7220" s="122"/>
      <c r="D7220" s="117" t="s">
        <v>1470</v>
      </c>
      <c r="E7220" s="118"/>
      <c r="F7220" s="123" t="s">
        <v>636</v>
      </c>
      <c r="G7220" s="242">
        <v>0.01</v>
      </c>
      <c r="H7220" s="144">
        <f>VLOOKUP(D7220,Bahan,6,FALSE)</f>
        <v>42000</v>
      </c>
      <c r="I7220" s="126">
        <f>G7220*H7220</f>
        <v>420</v>
      </c>
    </row>
    <row r="7221" spans="2:10" ht="15.95" customHeight="1" thickBot="1" x14ac:dyDescent="0.3">
      <c r="C7221" s="132"/>
      <c r="D7221" s="133"/>
      <c r="E7221" s="134"/>
      <c r="F7221" s="134"/>
      <c r="G7221" s="135" t="s">
        <v>386</v>
      </c>
      <c r="H7221" s="136"/>
      <c r="I7221" s="137">
        <f>SUM(I7216:I7220)</f>
        <v>18732.400000000001</v>
      </c>
    </row>
    <row r="7222" spans="2:10" ht="15.95" customHeight="1" thickBot="1" x14ac:dyDescent="0.3">
      <c r="C7222" s="116" t="s">
        <v>387</v>
      </c>
      <c r="D7222" s="117" t="s">
        <v>388</v>
      </c>
      <c r="E7222" s="118"/>
      <c r="F7222" s="118"/>
      <c r="G7222" s="165"/>
      <c r="H7222" s="144">
        <f>IF(AND(D7222&lt;&gt;"",F7222&lt;&gt;""),IF(C7222="",IF(F7222="OH",VLOOKUP(D7222,[1]UPAH!$B$3:$G$32,7,0),VLOOKUP(D7222,[1]BAHAN!$A$2:$D$3,4,0)),0),0)</f>
        <v>0</v>
      </c>
      <c r="I7222" s="126">
        <f>G7222*H7222</f>
        <v>0</v>
      </c>
    </row>
    <row r="7223" spans="2:10" ht="15.95" customHeight="1" thickBot="1" x14ac:dyDescent="0.3">
      <c r="C7223" s="132"/>
      <c r="D7223" s="133"/>
      <c r="E7223" s="134"/>
      <c r="F7223" s="134"/>
      <c r="G7223" s="135" t="s">
        <v>389</v>
      </c>
      <c r="H7223" s="136"/>
      <c r="I7223" s="137">
        <f>I7222</f>
        <v>0</v>
      </c>
    </row>
    <row r="7224" spans="2:10" ht="15.95" customHeight="1" x14ac:dyDescent="0.25">
      <c r="C7224" s="158" t="s">
        <v>390</v>
      </c>
      <c r="D7224" s="159" t="s">
        <v>391</v>
      </c>
      <c r="E7224" s="160"/>
      <c r="F7224" s="160"/>
      <c r="G7224" s="161"/>
      <c r="H7224" s="162">
        <f>IF(AND(D7224&lt;&gt;"",F7224&lt;&gt;""),IF(C7224="",IF(F7224="OH",VLOOKUP(D7224,[1]UPAH!$B$3:$G$32,7,0),VLOOKUP(D7224,[1]BAHAN!$A$2:$D$3,4,0)),0),0)</f>
        <v>0</v>
      </c>
      <c r="I7224" s="126">
        <f>SUM(I7209:I7223)/2</f>
        <v>205332.40000000002</v>
      </c>
    </row>
    <row r="7225" spans="2:10" ht="15.95" customHeight="1" thickBot="1" x14ac:dyDescent="0.3">
      <c r="C7225" s="147" t="s">
        <v>392</v>
      </c>
      <c r="D7225" s="148" t="s">
        <v>393</v>
      </c>
      <c r="E7225" s="149"/>
      <c r="F7225" s="149"/>
      <c r="G7225" s="164">
        <v>0.1</v>
      </c>
      <c r="H7225" s="151"/>
      <c r="I7225" s="146">
        <f>G7225*I7224</f>
        <v>20533.240000000005</v>
      </c>
    </row>
    <row r="7226" spans="2:10" ht="15.95" customHeight="1" thickBot="1" x14ac:dyDescent="0.3">
      <c r="C7226" s="111" t="s">
        <v>394</v>
      </c>
      <c r="D7226" s="112" t="s">
        <v>395</v>
      </c>
      <c r="E7226" s="134"/>
      <c r="F7226" s="134"/>
      <c r="G7226" s="156"/>
      <c r="H7226" s="136">
        <f>IF(AND(D7226&lt;&gt;"",F7226&lt;&gt;""),IF(C7226="",IF(F7226="OH",VLOOKUP(D7226,[1]UPAH!$B$3:$G$32,7,0),VLOOKUP(D7226,[1]BAHAN!$A$2:$D$3,4,0)),0),0)</f>
        <v>0</v>
      </c>
      <c r="I7226" s="137">
        <f>ROUNDDOWN(I7224+I7225,0)</f>
        <v>225865</v>
      </c>
    </row>
    <row r="7227" spans="2:10" ht="15.95" customHeight="1" x14ac:dyDescent="0.25">
      <c r="C7227" s="109"/>
      <c r="D7227" s="109"/>
      <c r="G7227" s="157"/>
    </row>
    <row r="7228" spans="2:10" ht="15.95" customHeight="1" thickBot="1" x14ac:dyDescent="0.3">
      <c r="B7228" s="109" t="s">
        <v>1524</v>
      </c>
      <c r="C7228" s="104" t="s">
        <v>1525</v>
      </c>
      <c r="G7228" s="157"/>
      <c r="J7228" s="110">
        <f>I7244</f>
        <v>206712</v>
      </c>
    </row>
    <row r="7229" spans="2:10" ht="15.95" customHeight="1" thickBot="1" x14ac:dyDescent="0.3">
      <c r="C7229" s="111" t="s">
        <v>328</v>
      </c>
      <c r="D7229" s="112" t="s">
        <v>359</v>
      </c>
      <c r="E7229" s="113" t="s">
        <v>360</v>
      </c>
      <c r="F7229" s="113" t="s">
        <v>330</v>
      </c>
      <c r="G7229" s="114" t="s">
        <v>361</v>
      </c>
      <c r="H7229" s="112" t="s">
        <v>362</v>
      </c>
      <c r="I7229" s="115" t="s">
        <v>363</v>
      </c>
    </row>
    <row r="7230" spans="2:10" ht="15.95" customHeight="1" x14ac:dyDescent="0.25">
      <c r="C7230" s="116" t="s">
        <v>364</v>
      </c>
      <c r="D7230" s="117" t="s">
        <v>365</v>
      </c>
      <c r="E7230" s="118"/>
      <c r="F7230" s="118"/>
      <c r="G7230" s="165"/>
      <c r="H7230" s="144"/>
      <c r="I7230" s="126"/>
    </row>
    <row r="7231" spans="2:10" ht="15.95" customHeight="1" x14ac:dyDescent="0.25">
      <c r="C7231" s="122"/>
      <c r="D7231" s="117" t="s">
        <v>366</v>
      </c>
      <c r="E7231" s="123" t="s">
        <v>367</v>
      </c>
      <c r="F7231" s="123" t="s">
        <v>368</v>
      </c>
      <c r="G7231" s="242">
        <v>0.4</v>
      </c>
      <c r="H7231" s="243">
        <f>VLOOKUP(D7231,Upah,8,FALSE)</f>
        <v>125000</v>
      </c>
      <c r="I7231" s="126">
        <f>G7231*H7231</f>
        <v>50000</v>
      </c>
    </row>
    <row r="7232" spans="2:10" ht="15.95" customHeight="1" x14ac:dyDescent="0.25">
      <c r="C7232" s="122"/>
      <c r="D7232" s="117" t="s">
        <v>1463</v>
      </c>
      <c r="E7232" s="123" t="s">
        <v>1464</v>
      </c>
      <c r="F7232" s="123" t="s">
        <v>368</v>
      </c>
      <c r="G7232" s="242">
        <v>0.7</v>
      </c>
      <c r="H7232" s="243">
        <f>VLOOKUP(D7232,Upah,8,FALSE)</f>
        <v>150000</v>
      </c>
      <c r="I7232" s="126">
        <f>G7232*H7232</f>
        <v>105000</v>
      </c>
    </row>
    <row r="7233" spans="2:10" ht="15.95" customHeight="1" x14ac:dyDescent="0.25">
      <c r="C7233" s="122"/>
      <c r="D7233" s="117" t="s">
        <v>429</v>
      </c>
      <c r="E7233" s="123" t="s">
        <v>372</v>
      </c>
      <c r="F7233" s="123" t="s">
        <v>368</v>
      </c>
      <c r="G7233" s="242">
        <v>7.0000000000000007E-2</v>
      </c>
      <c r="H7233" s="243">
        <f>VLOOKUP(D7233,Upah,8,FALSE)</f>
        <v>165000</v>
      </c>
      <c r="I7233" s="126">
        <f>G7233*H7233</f>
        <v>11550.000000000002</v>
      </c>
    </row>
    <row r="7234" spans="2:10" ht="15.95" customHeight="1" thickBot="1" x14ac:dyDescent="0.3">
      <c r="C7234" s="122"/>
      <c r="D7234" s="117" t="s">
        <v>373</v>
      </c>
      <c r="E7234" s="123" t="s">
        <v>374</v>
      </c>
      <c r="F7234" s="123" t="s">
        <v>368</v>
      </c>
      <c r="G7234" s="242">
        <v>0.02</v>
      </c>
      <c r="H7234" s="243">
        <f>VLOOKUP(D7234,Upah,8,FALSE)</f>
        <v>170000</v>
      </c>
      <c r="I7234" s="126">
        <f>G7234*H7234</f>
        <v>3400</v>
      </c>
    </row>
    <row r="7235" spans="2:10" ht="15.95" customHeight="1" thickBot="1" x14ac:dyDescent="0.3">
      <c r="C7235" s="132"/>
      <c r="D7235" s="133"/>
      <c r="E7235" s="134"/>
      <c r="F7235" s="134"/>
      <c r="G7235" s="135" t="s">
        <v>375</v>
      </c>
      <c r="H7235" s="136"/>
      <c r="I7235" s="137">
        <f>SUM(I7231:I7234)</f>
        <v>169950</v>
      </c>
    </row>
    <row r="7236" spans="2:10" ht="15.95" customHeight="1" x14ac:dyDescent="0.25">
      <c r="C7236" s="116" t="s">
        <v>376</v>
      </c>
      <c r="D7236" s="117" t="s">
        <v>377</v>
      </c>
      <c r="E7236" s="118"/>
      <c r="F7236" s="118"/>
      <c r="G7236" s="165"/>
      <c r="H7236" s="144"/>
      <c r="I7236" s="126"/>
    </row>
    <row r="7237" spans="2:10" ht="15.95" customHeight="1" x14ac:dyDescent="0.25">
      <c r="C7237" s="122"/>
      <c r="D7237" s="117" t="s">
        <v>1517</v>
      </c>
      <c r="E7237" s="118"/>
      <c r="F7237" s="123" t="s">
        <v>159</v>
      </c>
      <c r="G7237" s="242">
        <v>0.3</v>
      </c>
      <c r="H7237" s="144">
        <f>VLOOKUP(D7237,Bahan,6,FALSE)</f>
        <v>58500</v>
      </c>
      <c r="I7237" s="126">
        <f>G7237*H7237</f>
        <v>17550</v>
      </c>
    </row>
    <row r="7238" spans="2:10" ht="15.95" customHeight="1" thickBot="1" x14ac:dyDescent="0.3">
      <c r="C7238" s="122"/>
      <c r="D7238" s="117" t="s">
        <v>1470</v>
      </c>
      <c r="E7238" s="118"/>
      <c r="F7238" s="123" t="s">
        <v>636</v>
      </c>
      <c r="G7238" s="242">
        <v>0.01</v>
      </c>
      <c r="H7238" s="144">
        <f>VLOOKUP(D7238,Bahan,6,FALSE)</f>
        <v>42000</v>
      </c>
      <c r="I7238" s="126">
        <f>G7238*H7238</f>
        <v>420</v>
      </c>
    </row>
    <row r="7239" spans="2:10" ht="15.95" customHeight="1" thickBot="1" x14ac:dyDescent="0.3">
      <c r="C7239" s="132"/>
      <c r="D7239" s="133"/>
      <c r="E7239" s="134"/>
      <c r="F7239" s="134"/>
      <c r="G7239" s="135" t="s">
        <v>386</v>
      </c>
      <c r="H7239" s="136"/>
      <c r="I7239" s="137">
        <f>SUM(I7237:I7238)</f>
        <v>17970</v>
      </c>
    </row>
    <row r="7240" spans="2:10" ht="15.95" customHeight="1" thickBot="1" x14ac:dyDescent="0.3">
      <c r="C7240" s="116" t="s">
        <v>387</v>
      </c>
      <c r="D7240" s="117" t="s">
        <v>388</v>
      </c>
      <c r="E7240" s="118"/>
      <c r="F7240" s="118"/>
      <c r="G7240" s="165"/>
      <c r="H7240" s="144">
        <f>IF(AND(D7240&lt;&gt;"",F7240&lt;&gt;""),IF(C7240="",IF(F7240="OH",VLOOKUP(D7240,[1]UPAH!$B$3:$G$32,7,0),VLOOKUP(D7240,[1]BAHAN!$A$2:$D$3,4,0)),0),0)</f>
        <v>0</v>
      </c>
      <c r="I7240" s="126">
        <f>G7240*H7240</f>
        <v>0</v>
      </c>
    </row>
    <row r="7241" spans="2:10" ht="15.95" customHeight="1" thickBot="1" x14ac:dyDescent="0.3">
      <c r="C7241" s="132"/>
      <c r="D7241" s="133"/>
      <c r="E7241" s="134"/>
      <c r="F7241" s="134"/>
      <c r="G7241" s="135" t="s">
        <v>389</v>
      </c>
      <c r="H7241" s="136"/>
      <c r="I7241" s="137">
        <f>I7240</f>
        <v>0</v>
      </c>
    </row>
    <row r="7242" spans="2:10" ht="15.95" customHeight="1" x14ac:dyDescent="0.25">
      <c r="C7242" s="158" t="s">
        <v>390</v>
      </c>
      <c r="D7242" s="159" t="s">
        <v>391</v>
      </c>
      <c r="E7242" s="160"/>
      <c r="F7242" s="160"/>
      <c r="G7242" s="161"/>
      <c r="H7242" s="162">
        <f>IF(AND(D7242&lt;&gt;"",F7242&lt;&gt;""),IF(C7242="",IF(F7242="OH",VLOOKUP(D7242,[1]UPAH!$B$3:$G$32,7,0),VLOOKUP(D7242,[1]BAHAN!$A$2:$D$3,4,0)),0),0)</f>
        <v>0</v>
      </c>
      <c r="I7242" s="126">
        <f>SUM(I7231:I7241)/2</f>
        <v>187920</v>
      </c>
    </row>
    <row r="7243" spans="2:10" ht="15.95" customHeight="1" thickBot="1" x14ac:dyDescent="0.3">
      <c r="C7243" s="147" t="s">
        <v>392</v>
      </c>
      <c r="D7243" s="148" t="s">
        <v>393</v>
      </c>
      <c r="E7243" s="149"/>
      <c r="F7243" s="149"/>
      <c r="G7243" s="164">
        <v>0.1</v>
      </c>
      <c r="H7243" s="151"/>
      <c r="I7243" s="146">
        <f>G7243*I7242</f>
        <v>18792</v>
      </c>
    </row>
    <row r="7244" spans="2:10" ht="15.95" customHeight="1" thickBot="1" x14ac:dyDescent="0.3">
      <c r="C7244" s="111" t="s">
        <v>394</v>
      </c>
      <c r="D7244" s="112" t="s">
        <v>395</v>
      </c>
      <c r="E7244" s="134"/>
      <c r="F7244" s="134"/>
      <c r="G7244" s="156"/>
      <c r="H7244" s="136">
        <f>IF(AND(D7244&lt;&gt;"",F7244&lt;&gt;""),IF(C7244="",IF(F7244="OH",VLOOKUP(D7244,[1]UPAH!$B$3:$G$32,7,0),VLOOKUP(D7244,[1]BAHAN!$A$2:$D$3,4,0)),0),0)</f>
        <v>0</v>
      </c>
      <c r="I7244" s="137">
        <f>ROUNDDOWN(I7242+I7243,0)</f>
        <v>206712</v>
      </c>
    </row>
    <row r="7245" spans="2:10" ht="15.95" customHeight="1" x14ac:dyDescent="0.25">
      <c r="C7245" s="109"/>
      <c r="D7245" s="109"/>
      <c r="G7245" s="157"/>
      <c r="H7245" s="166"/>
      <c r="I7245" s="110"/>
    </row>
    <row r="7246" spans="2:10" ht="15.95" customHeight="1" thickBot="1" x14ac:dyDescent="0.3">
      <c r="B7246" s="245" t="s">
        <v>1526</v>
      </c>
      <c r="C7246" s="109" t="s">
        <v>1527</v>
      </c>
      <c r="D7246" s="109"/>
      <c r="G7246" s="157"/>
      <c r="H7246" s="166"/>
      <c r="I7246" s="110"/>
      <c r="J7246" s="110">
        <f>I7262</f>
        <v>200399</v>
      </c>
    </row>
    <row r="7247" spans="2:10" ht="15.95" customHeight="1" thickBot="1" x14ac:dyDescent="0.3">
      <c r="C7247" s="111" t="s">
        <v>328</v>
      </c>
      <c r="D7247" s="112" t="s">
        <v>359</v>
      </c>
      <c r="E7247" s="113" t="s">
        <v>360</v>
      </c>
      <c r="F7247" s="113" t="s">
        <v>330</v>
      </c>
      <c r="G7247" s="114" t="s">
        <v>361</v>
      </c>
      <c r="H7247" s="112" t="s">
        <v>362</v>
      </c>
      <c r="I7247" s="115" t="s">
        <v>363</v>
      </c>
    </row>
    <row r="7248" spans="2:10" ht="15.95" customHeight="1" x14ac:dyDescent="0.25">
      <c r="C7248" s="116" t="s">
        <v>364</v>
      </c>
      <c r="D7248" s="117" t="s">
        <v>365</v>
      </c>
      <c r="E7248" s="118"/>
      <c r="F7248" s="118"/>
      <c r="G7248" s="165"/>
      <c r="H7248" s="144"/>
      <c r="I7248" s="126"/>
    </row>
    <row r="7249" spans="1:9" ht="15.95" customHeight="1" x14ac:dyDescent="0.25">
      <c r="C7249" s="122"/>
      <c r="D7249" s="117" t="s">
        <v>366</v>
      </c>
      <c r="E7249" s="123" t="s">
        <v>367</v>
      </c>
      <c r="F7249" s="123" t="s">
        <v>368</v>
      </c>
      <c r="G7249" s="242">
        <v>0.4</v>
      </c>
      <c r="H7249" s="243">
        <f>VLOOKUP(D7249,Upah,8,FALSE)</f>
        <v>125000</v>
      </c>
      <c r="I7249" s="126">
        <f>G7249*H7249</f>
        <v>50000</v>
      </c>
    </row>
    <row r="7250" spans="1:9" ht="15.95" customHeight="1" x14ac:dyDescent="0.25">
      <c r="C7250" s="122"/>
      <c r="D7250" s="117" t="s">
        <v>1463</v>
      </c>
      <c r="E7250" s="123" t="s">
        <v>1464</v>
      </c>
      <c r="F7250" s="123" t="s">
        <v>368</v>
      </c>
      <c r="G7250" s="242">
        <v>0.7</v>
      </c>
      <c r="H7250" s="243">
        <f>VLOOKUP(D7250,Upah,8,FALSE)</f>
        <v>150000</v>
      </c>
      <c r="I7250" s="126">
        <f>G7250*H7250</f>
        <v>105000</v>
      </c>
    </row>
    <row r="7251" spans="1:9" ht="15.95" customHeight="1" x14ac:dyDescent="0.25">
      <c r="C7251" s="122"/>
      <c r="D7251" s="117" t="s">
        <v>429</v>
      </c>
      <c r="E7251" s="123" t="s">
        <v>372</v>
      </c>
      <c r="F7251" s="123" t="s">
        <v>368</v>
      </c>
      <c r="G7251" s="242">
        <v>7.0000000000000007E-2</v>
      </c>
      <c r="H7251" s="243">
        <f>VLOOKUP(D7251,Upah,8,FALSE)</f>
        <v>165000</v>
      </c>
      <c r="I7251" s="126">
        <f>G7251*H7251</f>
        <v>11550.000000000002</v>
      </c>
    </row>
    <row r="7252" spans="1:9" ht="15.95" customHeight="1" thickBot="1" x14ac:dyDescent="0.3">
      <c r="C7252" s="122"/>
      <c r="D7252" s="117" t="s">
        <v>373</v>
      </c>
      <c r="E7252" s="123" t="s">
        <v>374</v>
      </c>
      <c r="F7252" s="123" t="s">
        <v>368</v>
      </c>
      <c r="G7252" s="242">
        <v>0.02</v>
      </c>
      <c r="H7252" s="243">
        <f>VLOOKUP(D7252,Upah,8,FALSE)</f>
        <v>170000</v>
      </c>
      <c r="I7252" s="126">
        <f>G7252*H7252</f>
        <v>3400</v>
      </c>
    </row>
    <row r="7253" spans="1:9" ht="15.95" customHeight="1" thickBot="1" x14ac:dyDescent="0.3">
      <c r="C7253" s="132"/>
      <c r="D7253" s="133"/>
      <c r="E7253" s="134"/>
      <c r="F7253" s="134"/>
      <c r="G7253" s="135" t="s">
        <v>375</v>
      </c>
      <c r="H7253" s="136"/>
      <c r="I7253" s="137">
        <f>SUM(I7249:I7252)</f>
        <v>169950</v>
      </c>
    </row>
    <row r="7254" spans="1:9" ht="15.95" customHeight="1" x14ac:dyDescent="0.25">
      <c r="C7254" s="116" t="s">
        <v>376</v>
      </c>
      <c r="D7254" s="117" t="s">
        <v>377</v>
      </c>
      <c r="E7254" s="118"/>
      <c r="F7254" s="118"/>
      <c r="G7254" s="165"/>
      <c r="H7254" s="144"/>
      <c r="I7254" s="126"/>
    </row>
    <row r="7255" spans="1:9" ht="15.95" customHeight="1" x14ac:dyDescent="0.25">
      <c r="C7255" s="122"/>
      <c r="D7255" s="117" t="s">
        <v>1528</v>
      </c>
      <c r="E7255" s="118"/>
      <c r="F7255" s="123" t="s">
        <v>159</v>
      </c>
      <c r="G7255" s="242">
        <v>0.3</v>
      </c>
      <c r="H7255" s="144">
        <f>VLOOKUP(D7255,Bahan,6,FALSE)</f>
        <v>39370</v>
      </c>
      <c r="I7255" s="126">
        <f>G7255*H7255</f>
        <v>11811</v>
      </c>
    </row>
    <row r="7256" spans="1:9" ht="15.95" customHeight="1" thickBot="1" x14ac:dyDescent="0.3">
      <c r="C7256" s="122"/>
      <c r="D7256" s="117" t="s">
        <v>1470</v>
      </c>
      <c r="E7256" s="118"/>
      <c r="F7256" s="123" t="s">
        <v>636</v>
      </c>
      <c r="G7256" s="242">
        <v>0.01</v>
      </c>
      <c r="H7256" s="144">
        <f>VLOOKUP(D7256,Bahan,6,FALSE)</f>
        <v>42000</v>
      </c>
      <c r="I7256" s="126">
        <f>G7256*H7256</f>
        <v>420</v>
      </c>
    </row>
    <row r="7257" spans="1:9" ht="15.95" customHeight="1" thickBot="1" x14ac:dyDescent="0.3">
      <c r="C7257" s="132"/>
      <c r="D7257" s="133"/>
      <c r="E7257" s="134"/>
      <c r="F7257" s="134"/>
      <c r="G7257" s="135" t="s">
        <v>386</v>
      </c>
      <c r="H7257" s="136"/>
      <c r="I7257" s="137">
        <f>SUM(I7255:I7256)</f>
        <v>12231</v>
      </c>
    </row>
    <row r="7258" spans="1:9" ht="15.95" customHeight="1" thickBot="1" x14ac:dyDescent="0.3">
      <c r="C7258" s="116" t="s">
        <v>387</v>
      </c>
      <c r="D7258" s="117" t="s">
        <v>388</v>
      </c>
      <c r="E7258" s="118"/>
      <c r="F7258" s="118"/>
      <c r="G7258" s="165"/>
      <c r="H7258" s="144">
        <f>IF(AND(D7258&lt;&gt;"",F7258&lt;&gt;""),IF(C7258="",IF(F7258="OH",VLOOKUP(D7258,[1]UPAH!$B$3:$G$32,7,0),VLOOKUP(D7258,[1]BAHAN!$A$2:$D$3,4,0)),0),0)</f>
        <v>0</v>
      </c>
      <c r="I7258" s="126">
        <f>G7258*H7258</f>
        <v>0</v>
      </c>
    </row>
    <row r="7259" spans="1:9" ht="15.95" customHeight="1" thickBot="1" x14ac:dyDescent="0.3">
      <c r="C7259" s="132"/>
      <c r="D7259" s="133"/>
      <c r="E7259" s="134"/>
      <c r="F7259" s="134"/>
      <c r="G7259" s="135" t="s">
        <v>389</v>
      </c>
      <c r="H7259" s="136"/>
      <c r="I7259" s="137">
        <f>I7258</f>
        <v>0</v>
      </c>
    </row>
    <row r="7260" spans="1:9" ht="15.95" customHeight="1" x14ac:dyDescent="0.25">
      <c r="C7260" s="158" t="s">
        <v>390</v>
      </c>
      <c r="D7260" s="159" t="s">
        <v>391</v>
      </c>
      <c r="E7260" s="160"/>
      <c r="F7260" s="160"/>
      <c r="G7260" s="161"/>
      <c r="H7260" s="162">
        <f>IF(AND(D7260&lt;&gt;"",F7260&lt;&gt;""),IF(C7260="",IF(F7260="OH",VLOOKUP(D7260,[1]UPAH!$B$3:$G$32,7,0),VLOOKUP(D7260,[1]BAHAN!$A$2:$D$3,4,0)),0),0)</f>
        <v>0</v>
      </c>
      <c r="I7260" s="126">
        <f>SUM(I7249:I7259)/2</f>
        <v>182181</v>
      </c>
    </row>
    <row r="7261" spans="1:9" ht="15.95" customHeight="1" thickBot="1" x14ac:dyDescent="0.3">
      <c r="C7261" s="147" t="s">
        <v>392</v>
      </c>
      <c r="D7261" s="148" t="s">
        <v>393</v>
      </c>
      <c r="E7261" s="149"/>
      <c r="F7261" s="149"/>
      <c r="G7261" s="164">
        <v>0.1</v>
      </c>
      <c r="H7261" s="151"/>
      <c r="I7261" s="146">
        <f>G7261*I7260</f>
        <v>18218.100000000002</v>
      </c>
    </row>
    <row r="7262" spans="1:9" ht="15.95" customHeight="1" thickBot="1" x14ac:dyDescent="0.3">
      <c r="C7262" s="111" t="s">
        <v>394</v>
      </c>
      <c r="D7262" s="112" t="s">
        <v>395</v>
      </c>
      <c r="E7262" s="134"/>
      <c r="F7262" s="134"/>
      <c r="G7262" s="156"/>
      <c r="H7262" s="136">
        <f>IF(AND(D7262&lt;&gt;"",F7262&lt;&gt;""),IF(C7262="",IF(F7262="OH",VLOOKUP(D7262,[1]UPAH!$B$3:$G$32,7,0),VLOOKUP(D7262,[1]BAHAN!$A$2:$D$3,4,0)),0),0)</f>
        <v>0</v>
      </c>
      <c r="I7262" s="137">
        <f>ROUNDDOWN(I7260+I7261,0)</f>
        <v>200399</v>
      </c>
    </row>
    <row r="7263" spans="1:9" ht="15.95" customHeight="1" x14ac:dyDescent="0.25">
      <c r="C7263" s="109"/>
      <c r="D7263" s="109"/>
      <c r="G7263" s="157"/>
      <c r="H7263" s="166"/>
      <c r="I7263" s="110"/>
    </row>
    <row r="7264" spans="1:9" ht="15.95" customHeight="1" x14ac:dyDescent="0.25">
      <c r="A7264" s="167" t="s">
        <v>1529</v>
      </c>
      <c r="B7264" s="168" t="s">
        <v>1530</v>
      </c>
      <c r="G7264" s="157"/>
    </row>
    <row r="7265" spans="2:10" ht="15.95" customHeight="1" thickBot="1" x14ac:dyDescent="0.3">
      <c r="B7265" s="247" t="s">
        <v>1531</v>
      </c>
      <c r="C7265" s="104" t="s">
        <v>1532</v>
      </c>
      <c r="G7265" s="157"/>
      <c r="J7265" s="110">
        <f>I7281</f>
        <v>2407185</v>
      </c>
    </row>
    <row r="7266" spans="2:10" ht="15.95" customHeight="1" thickBot="1" x14ac:dyDescent="0.3">
      <c r="C7266" s="111" t="s">
        <v>328</v>
      </c>
      <c r="D7266" s="112" t="s">
        <v>359</v>
      </c>
      <c r="E7266" s="113" t="s">
        <v>360</v>
      </c>
      <c r="F7266" s="113" t="s">
        <v>330</v>
      </c>
      <c r="G7266" s="114" t="s">
        <v>361</v>
      </c>
      <c r="H7266" s="112" t="s">
        <v>362</v>
      </c>
      <c r="I7266" s="115" t="s">
        <v>363</v>
      </c>
    </row>
    <row r="7267" spans="2:10" ht="15.95" customHeight="1" x14ac:dyDescent="0.25">
      <c r="C7267" s="116" t="s">
        <v>364</v>
      </c>
      <c r="D7267" s="117" t="s">
        <v>365</v>
      </c>
      <c r="E7267" s="118"/>
      <c r="F7267" s="118"/>
      <c r="G7267" s="165"/>
      <c r="H7267" s="144"/>
      <c r="I7267" s="126"/>
    </row>
    <row r="7268" spans="2:10" ht="15.95" customHeight="1" x14ac:dyDescent="0.25">
      <c r="C7268" s="122"/>
      <c r="D7268" s="117" t="s">
        <v>366</v>
      </c>
      <c r="E7268" s="123" t="s">
        <v>367</v>
      </c>
      <c r="F7268" s="239" t="s">
        <v>368</v>
      </c>
      <c r="G7268" s="242">
        <v>3.3</v>
      </c>
      <c r="H7268" s="243">
        <f>VLOOKUP(D7268,Upah,8,FALSE)</f>
        <v>125000</v>
      </c>
      <c r="I7268" s="126">
        <f>G7268*H7268</f>
        <v>412500</v>
      </c>
    </row>
    <row r="7269" spans="2:10" ht="15.95" customHeight="1" x14ac:dyDescent="0.25">
      <c r="C7269" s="122"/>
      <c r="D7269" s="117" t="s">
        <v>413</v>
      </c>
      <c r="E7269" s="123" t="s">
        <v>414</v>
      </c>
      <c r="F7269" s="239" t="s">
        <v>368</v>
      </c>
      <c r="G7269" s="242">
        <v>1.1000000000000001</v>
      </c>
      <c r="H7269" s="243">
        <f>VLOOKUP(D7269,Upah,8,FALSE)</f>
        <v>150000</v>
      </c>
      <c r="I7269" s="126">
        <f>G7269*H7269</f>
        <v>165000</v>
      </c>
    </row>
    <row r="7270" spans="2:10" ht="15.95" customHeight="1" x14ac:dyDescent="0.25">
      <c r="C7270" s="122"/>
      <c r="D7270" s="117" t="s">
        <v>429</v>
      </c>
      <c r="E7270" s="123" t="s">
        <v>372</v>
      </c>
      <c r="F7270" s="239" t="s">
        <v>368</v>
      </c>
      <c r="G7270" s="242">
        <v>0.01</v>
      </c>
      <c r="H7270" s="243">
        <f>VLOOKUP(D7270,Upah,8,FALSE)</f>
        <v>165000</v>
      </c>
      <c r="I7270" s="126">
        <f>G7270*H7270</f>
        <v>1650</v>
      </c>
    </row>
    <row r="7271" spans="2:10" ht="15.95" customHeight="1" thickBot="1" x14ac:dyDescent="0.3">
      <c r="C7271" s="122"/>
      <c r="D7271" s="117" t="s">
        <v>373</v>
      </c>
      <c r="E7271" s="123" t="s">
        <v>374</v>
      </c>
      <c r="F7271" s="239" t="s">
        <v>368</v>
      </c>
      <c r="G7271" s="242">
        <v>0.16</v>
      </c>
      <c r="H7271" s="243">
        <f>VLOOKUP(D7271,Upah,8,FALSE)</f>
        <v>170000</v>
      </c>
      <c r="I7271" s="126">
        <f>G7271*H7271</f>
        <v>27200</v>
      </c>
    </row>
    <row r="7272" spans="2:10" ht="15.95" customHeight="1" thickBot="1" x14ac:dyDescent="0.3">
      <c r="C7272" s="132"/>
      <c r="D7272" s="133"/>
      <c r="E7272" s="134"/>
      <c r="F7272" s="134"/>
      <c r="G7272" s="135" t="s">
        <v>375</v>
      </c>
      <c r="H7272" s="136"/>
      <c r="I7272" s="137">
        <f>SUM(I7268:I7271)</f>
        <v>606350</v>
      </c>
    </row>
    <row r="7273" spans="2:10" ht="15.95" customHeight="1" x14ac:dyDescent="0.25">
      <c r="C7273" s="116" t="s">
        <v>376</v>
      </c>
      <c r="D7273" s="117" t="s">
        <v>377</v>
      </c>
      <c r="E7273" s="118"/>
      <c r="F7273" s="118"/>
      <c r="G7273" s="165"/>
      <c r="H7273" s="144"/>
      <c r="I7273" s="126"/>
    </row>
    <row r="7274" spans="2:10" ht="15.95" customHeight="1" x14ac:dyDescent="0.25">
      <c r="C7274" s="122"/>
      <c r="D7274" s="117" t="s">
        <v>1533</v>
      </c>
      <c r="E7274" s="118"/>
      <c r="F7274" s="239" t="s">
        <v>1534</v>
      </c>
      <c r="G7274" s="242">
        <v>1</v>
      </c>
      <c r="H7274" s="144">
        <f>VLOOKUP(D7274,Bahan,6,FALSE)</f>
        <v>2825000</v>
      </c>
      <c r="I7274" s="126">
        <f>G7274*H7274</f>
        <v>2825000</v>
      </c>
    </row>
    <row r="7275" spans="2:10" ht="15.95" customHeight="1" thickBot="1" x14ac:dyDescent="0.3">
      <c r="C7275" s="122"/>
      <c r="D7275" s="117" t="s">
        <v>1535</v>
      </c>
      <c r="E7275" s="118"/>
      <c r="F7275" s="239" t="s">
        <v>1147</v>
      </c>
      <c r="G7275" s="242">
        <v>0.06</v>
      </c>
      <c r="H7275" s="144">
        <f>I7274</f>
        <v>2825000</v>
      </c>
      <c r="I7275" s="126">
        <f>G7275*H7275</f>
        <v>169500</v>
      </c>
    </row>
    <row r="7276" spans="2:10" ht="15.95" customHeight="1" thickBot="1" x14ac:dyDescent="0.3">
      <c r="C7276" s="132"/>
      <c r="D7276" s="133"/>
      <c r="E7276" s="134"/>
      <c r="F7276" s="134"/>
      <c r="G7276" s="135" t="s">
        <v>386</v>
      </c>
      <c r="H7276" s="136">
        <f>SUM(H7274:H7275)</f>
        <v>5650000</v>
      </c>
      <c r="I7276" s="137">
        <f>SUM(I7275)</f>
        <v>169500</v>
      </c>
    </row>
    <row r="7277" spans="2:10" ht="15.95" customHeight="1" thickBot="1" x14ac:dyDescent="0.3">
      <c r="C7277" s="116" t="s">
        <v>387</v>
      </c>
      <c r="D7277" s="117" t="s">
        <v>388</v>
      </c>
      <c r="E7277" s="118"/>
      <c r="F7277" s="118"/>
      <c r="G7277" s="165"/>
      <c r="H7277" s="144">
        <f>IF(AND(D7277&lt;&gt;"",F7277&lt;&gt;""),IF(C7277="",IF(F7277="OH",VLOOKUP(D7277,[1]UPAH!$B$3:$G$32,7,0),VLOOKUP(D7277,[1]BAHAN!$A$2:$D$3,4,0)),0),0)</f>
        <v>0</v>
      </c>
      <c r="I7277" s="126">
        <f>G7277*H7277</f>
        <v>0</v>
      </c>
    </row>
    <row r="7278" spans="2:10" ht="15.95" customHeight="1" thickBot="1" x14ac:dyDescent="0.3">
      <c r="C7278" s="132"/>
      <c r="D7278" s="133"/>
      <c r="E7278" s="134"/>
      <c r="F7278" s="134"/>
      <c r="G7278" s="135" t="s">
        <v>389</v>
      </c>
      <c r="H7278" s="136"/>
      <c r="I7278" s="137">
        <f>I7277</f>
        <v>0</v>
      </c>
    </row>
    <row r="7279" spans="2:10" ht="15.95" customHeight="1" x14ac:dyDescent="0.25">
      <c r="C7279" s="158" t="s">
        <v>390</v>
      </c>
      <c r="D7279" s="159" t="s">
        <v>391</v>
      </c>
      <c r="E7279" s="160"/>
      <c r="F7279" s="160"/>
      <c r="G7279" s="161"/>
      <c r="H7279" s="162">
        <f>IF(AND(D7279&lt;&gt;"",F7279&lt;&gt;""),IF(C7279="",IF(F7279="OH",VLOOKUP(D7279,[1]UPAH!$B$3:$G$32,7,0),VLOOKUP(D7279,[1]BAHAN!$A$2:$D$3,4,0)),0),0)</f>
        <v>0</v>
      </c>
      <c r="I7279" s="126">
        <f>SUM(I7268:I7278)/2</f>
        <v>2188350</v>
      </c>
    </row>
    <row r="7280" spans="2:10" ht="15.95" customHeight="1" thickBot="1" x14ac:dyDescent="0.3">
      <c r="C7280" s="147" t="s">
        <v>392</v>
      </c>
      <c r="D7280" s="148" t="s">
        <v>393</v>
      </c>
      <c r="E7280" s="149"/>
      <c r="F7280" s="149"/>
      <c r="G7280" s="164">
        <v>0.1</v>
      </c>
      <c r="H7280" s="151"/>
      <c r="I7280" s="146">
        <f>G7280*I7279</f>
        <v>218835</v>
      </c>
    </row>
    <row r="7281" spans="2:10" ht="15.95" customHeight="1" thickBot="1" x14ac:dyDescent="0.3">
      <c r="C7281" s="111" t="s">
        <v>394</v>
      </c>
      <c r="D7281" s="112" t="s">
        <v>395</v>
      </c>
      <c r="E7281" s="134"/>
      <c r="F7281" s="134"/>
      <c r="G7281" s="156"/>
      <c r="H7281" s="136">
        <f>IF(AND(D7281&lt;&gt;"",F7281&lt;&gt;""),IF(C7281="",IF(F7281="OH",VLOOKUP(D7281,[1]UPAH!$B$3:$G$32,7,0),VLOOKUP(D7281,[1]BAHAN!$A$2:$D$3,4,0)),0),0)</f>
        <v>0</v>
      </c>
      <c r="I7281" s="137">
        <f>ROUNDDOWN(I7279+I7280,0)</f>
        <v>2407185</v>
      </c>
    </row>
    <row r="7282" spans="2:10" ht="15.95" customHeight="1" x14ac:dyDescent="0.25">
      <c r="C7282" s="109"/>
      <c r="D7282" s="109"/>
      <c r="G7282" s="157"/>
    </row>
    <row r="7283" spans="2:10" ht="15.95" customHeight="1" thickBot="1" x14ac:dyDescent="0.3">
      <c r="B7283" s="109" t="s">
        <v>1536</v>
      </c>
      <c r="C7283" s="104" t="s">
        <v>1537</v>
      </c>
      <c r="G7283" s="157"/>
      <c r="J7283" s="110">
        <f>I7300</f>
        <v>648741</v>
      </c>
    </row>
    <row r="7284" spans="2:10" ht="15.95" customHeight="1" thickBot="1" x14ac:dyDescent="0.3">
      <c r="C7284" s="111" t="s">
        <v>328</v>
      </c>
      <c r="D7284" s="112" t="s">
        <v>359</v>
      </c>
      <c r="E7284" s="113" t="s">
        <v>360</v>
      </c>
      <c r="F7284" s="113" t="s">
        <v>330</v>
      </c>
      <c r="G7284" s="114" t="s">
        <v>361</v>
      </c>
      <c r="H7284" s="112" t="s">
        <v>362</v>
      </c>
      <c r="I7284" s="115" t="s">
        <v>363</v>
      </c>
    </row>
    <row r="7285" spans="2:10" ht="15.95" customHeight="1" x14ac:dyDescent="0.25">
      <c r="C7285" s="116" t="s">
        <v>364</v>
      </c>
      <c r="D7285" s="117" t="s">
        <v>365</v>
      </c>
      <c r="E7285" s="118"/>
      <c r="F7285" s="118"/>
      <c r="G7285" s="165"/>
      <c r="H7285" s="144"/>
      <c r="I7285" s="126"/>
    </row>
    <row r="7286" spans="2:10" ht="15.95" customHeight="1" x14ac:dyDescent="0.25">
      <c r="C7286" s="122"/>
      <c r="D7286" s="117" t="s">
        <v>366</v>
      </c>
      <c r="E7286" s="123" t="s">
        <v>367</v>
      </c>
      <c r="F7286" s="239" t="s">
        <v>368</v>
      </c>
      <c r="G7286" s="242">
        <v>1</v>
      </c>
      <c r="H7286" s="243">
        <f>VLOOKUP(D7286,Upah,8,FALSE)</f>
        <v>125000</v>
      </c>
      <c r="I7286" s="126">
        <f>G7286*H7286</f>
        <v>125000</v>
      </c>
    </row>
    <row r="7287" spans="2:10" ht="15.95" customHeight="1" x14ac:dyDescent="0.25">
      <c r="C7287" s="122"/>
      <c r="D7287" s="117" t="s">
        <v>413</v>
      </c>
      <c r="E7287" s="123" t="s">
        <v>414</v>
      </c>
      <c r="F7287" s="239" t="s">
        <v>368</v>
      </c>
      <c r="G7287" s="242">
        <v>1.5</v>
      </c>
      <c r="H7287" s="243">
        <f>VLOOKUP(D7287,Upah,8,FALSE)</f>
        <v>150000</v>
      </c>
      <c r="I7287" s="126">
        <f>G7287*H7287</f>
        <v>225000</v>
      </c>
    </row>
    <row r="7288" spans="2:10" ht="15.95" customHeight="1" x14ac:dyDescent="0.25">
      <c r="C7288" s="122"/>
      <c r="D7288" s="117" t="s">
        <v>429</v>
      </c>
      <c r="E7288" s="123" t="s">
        <v>372</v>
      </c>
      <c r="F7288" s="239" t="s">
        <v>368</v>
      </c>
      <c r="G7288" s="242">
        <v>0.15</v>
      </c>
      <c r="H7288" s="243">
        <f>VLOOKUP(D7288,Upah,8,FALSE)</f>
        <v>165000</v>
      </c>
      <c r="I7288" s="126">
        <f>G7288*H7288</f>
        <v>24750</v>
      </c>
    </row>
    <row r="7289" spans="2:10" ht="15.95" customHeight="1" thickBot="1" x14ac:dyDescent="0.3">
      <c r="C7289" s="122"/>
      <c r="D7289" s="117" t="s">
        <v>373</v>
      </c>
      <c r="E7289" s="123" t="s">
        <v>374</v>
      </c>
      <c r="F7289" s="239" t="s">
        <v>368</v>
      </c>
      <c r="G7289" s="242">
        <v>0.16</v>
      </c>
      <c r="H7289" s="243">
        <f>VLOOKUP(D7289,Upah,8,FALSE)</f>
        <v>170000</v>
      </c>
      <c r="I7289" s="126">
        <f>G7289*H7289</f>
        <v>27200</v>
      </c>
    </row>
    <row r="7290" spans="2:10" ht="15.95" customHeight="1" thickBot="1" x14ac:dyDescent="0.3">
      <c r="C7290" s="132"/>
      <c r="D7290" s="133"/>
      <c r="E7290" s="134"/>
      <c r="F7290" s="134"/>
      <c r="G7290" s="135" t="s">
        <v>375</v>
      </c>
      <c r="H7290" s="136"/>
      <c r="I7290" s="137">
        <f>SUM(I7286:I7289)</f>
        <v>401950</v>
      </c>
    </row>
    <row r="7291" spans="2:10" ht="15.95" customHeight="1" x14ac:dyDescent="0.25">
      <c r="C7291" s="116" t="s">
        <v>376</v>
      </c>
      <c r="D7291" s="117" t="s">
        <v>377</v>
      </c>
      <c r="E7291" s="118"/>
      <c r="F7291" s="118"/>
      <c r="G7291" s="165"/>
      <c r="H7291" s="144"/>
      <c r="I7291" s="126"/>
    </row>
    <row r="7292" spans="2:10" ht="15.95" customHeight="1" x14ac:dyDescent="0.25">
      <c r="C7292" s="122"/>
      <c r="D7292" s="117" t="s">
        <v>1538</v>
      </c>
      <c r="E7292" s="118"/>
      <c r="F7292" s="239" t="s">
        <v>1534</v>
      </c>
      <c r="G7292" s="242">
        <v>1</v>
      </c>
      <c r="H7292" s="144">
        <f>VLOOKUP(D7292,Bahan,6,FALSE)</f>
        <v>174000</v>
      </c>
      <c r="I7292" s="126">
        <f>G7292*H7292</f>
        <v>174000</v>
      </c>
    </row>
    <row r="7293" spans="2:10" ht="15.95" customHeight="1" x14ac:dyDescent="0.25">
      <c r="C7293" s="122"/>
      <c r="D7293" s="117" t="s">
        <v>380</v>
      </c>
      <c r="E7293" s="118"/>
      <c r="F7293" s="239" t="s">
        <v>159</v>
      </c>
      <c r="G7293" s="242">
        <v>6</v>
      </c>
      <c r="H7293" s="144">
        <f>VLOOKUP(D7293,Bahan,6,FALSE)</f>
        <v>1880</v>
      </c>
      <c r="I7293" s="126">
        <f>G7293*H7293</f>
        <v>11280</v>
      </c>
    </row>
    <row r="7294" spans="2:10" ht="15.95" customHeight="1" thickBot="1" x14ac:dyDescent="0.3">
      <c r="C7294" s="122"/>
      <c r="D7294" s="117" t="s">
        <v>416</v>
      </c>
      <c r="E7294" s="118"/>
      <c r="F7294" s="239" t="s">
        <v>489</v>
      </c>
      <c r="G7294" s="242">
        <v>0.01</v>
      </c>
      <c r="H7294" s="144">
        <f>VLOOKUP(D7294,Bahan,6,FALSE)</f>
        <v>253510</v>
      </c>
      <c r="I7294" s="126">
        <f>G7294*H7294</f>
        <v>2535.1</v>
      </c>
    </row>
    <row r="7295" spans="2:10" ht="15.95" customHeight="1" thickBot="1" x14ac:dyDescent="0.3">
      <c r="C7295" s="132"/>
      <c r="D7295" s="133"/>
      <c r="E7295" s="134"/>
      <c r="F7295" s="134"/>
      <c r="G7295" s="135" t="s">
        <v>386</v>
      </c>
      <c r="H7295" s="136"/>
      <c r="I7295" s="137">
        <f>SUM(I7292:I7294)</f>
        <v>187815.1</v>
      </c>
    </row>
    <row r="7296" spans="2:10" ht="15.95" customHeight="1" thickBot="1" x14ac:dyDescent="0.3">
      <c r="C7296" s="116" t="s">
        <v>387</v>
      </c>
      <c r="D7296" s="117" t="s">
        <v>388</v>
      </c>
      <c r="E7296" s="118"/>
      <c r="F7296" s="118"/>
      <c r="G7296" s="165"/>
      <c r="H7296" s="144">
        <f>IF(AND(D7296&lt;&gt;"",F7296&lt;&gt;""),IF(C7296="",IF(F7296="OH",VLOOKUP(D7296,[1]UPAH!$B$3:$G$32,7,0),VLOOKUP(D7296,[1]BAHAN!$A$2:$D$3,4,0)),0),0)</f>
        <v>0</v>
      </c>
      <c r="I7296" s="126">
        <f>G7296*H7296</f>
        <v>0</v>
      </c>
    </row>
    <row r="7297" spans="2:10" ht="15.95" customHeight="1" thickBot="1" x14ac:dyDescent="0.3">
      <c r="C7297" s="132"/>
      <c r="D7297" s="133"/>
      <c r="E7297" s="134"/>
      <c r="F7297" s="134"/>
      <c r="G7297" s="135" t="s">
        <v>389</v>
      </c>
      <c r="H7297" s="136"/>
      <c r="I7297" s="137">
        <f>I7296</f>
        <v>0</v>
      </c>
    </row>
    <row r="7298" spans="2:10" ht="15.95" customHeight="1" x14ac:dyDescent="0.25">
      <c r="C7298" s="158" t="s">
        <v>390</v>
      </c>
      <c r="D7298" s="159" t="s">
        <v>391</v>
      </c>
      <c r="E7298" s="160"/>
      <c r="F7298" s="160"/>
      <c r="G7298" s="161"/>
      <c r="H7298" s="162">
        <f>IF(AND(D7298&lt;&gt;"",F7298&lt;&gt;""),IF(C7298="",IF(F7298="OH",VLOOKUP(D7298,[1]UPAH!$B$3:$G$32,7,0),VLOOKUP(D7298,[1]BAHAN!$A$2:$D$3,4,0)),0),0)</f>
        <v>0</v>
      </c>
      <c r="I7298" s="126">
        <f>SUM(I7286:I7297)/2</f>
        <v>589765.1</v>
      </c>
    </row>
    <row r="7299" spans="2:10" ht="15.95" customHeight="1" thickBot="1" x14ac:dyDescent="0.3">
      <c r="C7299" s="147" t="s">
        <v>392</v>
      </c>
      <c r="D7299" s="148" t="s">
        <v>393</v>
      </c>
      <c r="E7299" s="149"/>
      <c r="F7299" s="149"/>
      <c r="G7299" s="164">
        <v>0.1</v>
      </c>
      <c r="H7299" s="151"/>
      <c r="I7299" s="146">
        <f>G7299*I7298</f>
        <v>58976.51</v>
      </c>
    </row>
    <row r="7300" spans="2:10" ht="15.95" customHeight="1" thickBot="1" x14ac:dyDescent="0.3">
      <c r="C7300" s="111" t="s">
        <v>394</v>
      </c>
      <c r="D7300" s="112" t="s">
        <v>395</v>
      </c>
      <c r="E7300" s="134"/>
      <c r="F7300" s="134"/>
      <c r="G7300" s="156"/>
      <c r="H7300" s="136">
        <f>IF(AND(D7300&lt;&gt;"",F7300&lt;&gt;""),IF(C7300="",IF(F7300="OH",VLOOKUP(D7300,[1]UPAH!$B$3:$G$32,7,0),VLOOKUP(D7300,[1]BAHAN!$A$2:$D$3,4,0)),0),0)</f>
        <v>0</v>
      </c>
      <c r="I7300" s="137">
        <f>ROUNDDOWN(I7298+I7299,0)</f>
        <v>648741</v>
      </c>
    </row>
    <row r="7301" spans="2:10" ht="15.95" customHeight="1" x14ac:dyDescent="0.25">
      <c r="C7301" s="109"/>
      <c r="D7301" s="109"/>
      <c r="G7301" s="157"/>
    </row>
    <row r="7302" spans="2:10" ht="15.95" customHeight="1" thickBot="1" x14ac:dyDescent="0.3">
      <c r="B7302" s="109" t="s">
        <v>1539</v>
      </c>
      <c r="C7302" s="104" t="s">
        <v>1540</v>
      </c>
      <c r="G7302" s="157"/>
      <c r="J7302" s="110">
        <f>I7320</f>
        <v>636179</v>
      </c>
    </row>
    <row r="7303" spans="2:10" ht="15.95" customHeight="1" thickBot="1" x14ac:dyDescent="0.3">
      <c r="C7303" s="111" t="s">
        <v>328</v>
      </c>
      <c r="D7303" s="112" t="s">
        <v>359</v>
      </c>
      <c r="E7303" s="113" t="s">
        <v>360</v>
      </c>
      <c r="F7303" s="113" t="s">
        <v>330</v>
      </c>
      <c r="G7303" s="114" t="s">
        <v>361</v>
      </c>
      <c r="H7303" s="112" t="s">
        <v>362</v>
      </c>
      <c r="I7303" s="115" t="s">
        <v>363</v>
      </c>
    </row>
    <row r="7304" spans="2:10" ht="15.95" customHeight="1" x14ac:dyDescent="0.25">
      <c r="C7304" s="158" t="s">
        <v>364</v>
      </c>
      <c r="D7304" s="159" t="s">
        <v>365</v>
      </c>
      <c r="E7304" s="160"/>
      <c r="F7304" s="160"/>
      <c r="G7304" s="161"/>
      <c r="H7304" s="162"/>
      <c r="I7304" s="163"/>
    </row>
    <row r="7305" spans="2:10" ht="15.95" customHeight="1" x14ac:dyDescent="0.25">
      <c r="C7305" s="122"/>
      <c r="D7305" s="117" t="s">
        <v>366</v>
      </c>
      <c r="E7305" s="123" t="s">
        <v>367</v>
      </c>
      <c r="F7305" s="239" t="s">
        <v>368</v>
      </c>
      <c r="G7305" s="242">
        <v>1</v>
      </c>
      <c r="H7305" s="243">
        <f>VLOOKUP(D7305,Upah,8,FALSE)</f>
        <v>125000</v>
      </c>
      <c r="I7305" s="126">
        <f>G7305*H7305</f>
        <v>125000</v>
      </c>
    </row>
    <row r="7306" spans="2:10" ht="15.95" customHeight="1" x14ac:dyDescent="0.25">
      <c r="C7306" s="122"/>
      <c r="D7306" s="117" t="s">
        <v>413</v>
      </c>
      <c r="E7306" s="123" t="s">
        <v>414</v>
      </c>
      <c r="F7306" s="239" t="s">
        <v>368</v>
      </c>
      <c r="G7306" s="242">
        <v>1.5</v>
      </c>
      <c r="H7306" s="243">
        <f>VLOOKUP(D7306,Upah,8,FALSE)</f>
        <v>150000</v>
      </c>
      <c r="I7306" s="126">
        <f>G7306*H7306</f>
        <v>225000</v>
      </c>
    </row>
    <row r="7307" spans="2:10" ht="15.95" customHeight="1" x14ac:dyDescent="0.25">
      <c r="C7307" s="122"/>
      <c r="D7307" s="117" t="s">
        <v>429</v>
      </c>
      <c r="E7307" s="123" t="s">
        <v>372</v>
      </c>
      <c r="F7307" s="239" t="s">
        <v>368</v>
      </c>
      <c r="G7307" s="242">
        <v>0.15</v>
      </c>
      <c r="H7307" s="243">
        <f>VLOOKUP(D7307,Upah,8,FALSE)</f>
        <v>165000</v>
      </c>
      <c r="I7307" s="126">
        <f>G7307*H7307</f>
        <v>24750</v>
      </c>
    </row>
    <row r="7308" spans="2:10" ht="15.95" customHeight="1" thickBot="1" x14ac:dyDescent="0.3">
      <c r="C7308" s="122"/>
      <c r="D7308" s="117" t="s">
        <v>373</v>
      </c>
      <c r="E7308" s="123" t="s">
        <v>374</v>
      </c>
      <c r="F7308" s="239" t="s">
        <v>368</v>
      </c>
      <c r="G7308" s="242">
        <v>0.05</v>
      </c>
      <c r="H7308" s="243">
        <f>VLOOKUP(D7308,Upah,8,FALSE)</f>
        <v>170000</v>
      </c>
      <c r="I7308" s="126">
        <f>G7308*H7308</f>
        <v>8500</v>
      </c>
    </row>
    <row r="7309" spans="2:10" ht="15.95" customHeight="1" thickBot="1" x14ac:dyDescent="0.3">
      <c r="C7309" s="132"/>
      <c r="D7309" s="133"/>
      <c r="E7309" s="134"/>
      <c r="F7309" s="134"/>
      <c r="G7309" s="135" t="s">
        <v>375</v>
      </c>
      <c r="H7309" s="136"/>
      <c r="I7309" s="137">
        <f>SUM(I7305:I7308)</f>
        <v>383250</v>
      </c>
    </row>
    <row r="7310" spans="2:10" ht="15.95" customHeight="1" x14ac:dyDescent="0.25">
      <c r="C7310" s="116" t="s">
        <v>376</v>
      </c>
      <c r="D7310" s="117" t="s">
        <v>377</v>
      </c>
      <c r="E7310" s="118"/>
      <c r="F7310" s="118"/>
      <c r="G7310" s="165"/>
      <c r="H7310" s="144"/>
      <c r="I7310" s="126"/>
    </row>
    <row r="7311" spans="2:10" ht="15.95" customHeight="1" x14ac:dyDescent="0.25">
      <c r="C7311" s="122"/>
      <c r="D7311" s="117" t="s">
        <v>1538</v>
      </c>
      <c r="E7311" s="118"/>
      <c r="F7311" s="239" t="s">
        <v>1534</v>
      </c>
      <c r="G7311" s="242">
        <v>1</v>
      </c>
      <c r="H7311" s="144">
        <f>VLOOKUP(D7311,Bahan,6,FALSE)</f>
        <v>174000</v>
      </c>
      <c r="I7311" s="126">
        <f>G7311*H7311</f>
        <v>174000</v>
      </c>
    </row>
    <row r="7312" spans="2:10" ht="15.95" customHeight="1" x14ac:dyDescent="0.25">
      <c r="C7312" s="122"/>
      <c r="D7312" s="117" t="s">
        <v>380</v>
      </c>
      <c r="E7312" s="118"/>
      <c r="F7312" s="239" t="s">
        <v>159</v>
      </c>
      <c r="G7312" s="242">
        <v>6</v>
      </c>
      <c r="H7312" s="144">
        <f>VLOOKUP(D7312,Bahan,6,FALSE)</f>
        <v>1880</v>
      </c>
      <c r="I7312" s="126">
        <f>G7312*H7312</f>
        <v>11280</v>
      </c>
    </row>
    <row r="7313" spans="2:10" ht="15.95" customHeight="1" x14ac:dyDescent="0.25">
      <c r="C7313" s="122"/>
      <c r="D7313" s="117" t="s">
        <v>416</v>
      </c>
      <c r="E7313" s="118"/>
      <c r="F7313" s="239" t="s">
        <v>489</v>
      </c>
      <c r="G7313" s="242">
        <v>0.01</v>
      </c>
      <c r="H7313" s="144">
        <f>VLOOKUP(D7313,Bahan,6,FALSE)</f>
        <v>253510</v>
      </c>
      <c r="I7313" s="126">
        <f>G7313*H7313</f>
        <v>2535.1</v>
      </c>
    </row>
    <row r="7314" spans="2:10" ht="15.95" customHeight="1" thickBot="1" x14ac:dyDescent="0.3">
      <c r="C7314" s="122"/>
      <c r="D7314" s="117" t="s">
        <v>417</v>
      </c>
      <c r="E7314" s="118"/>
      <c r="F7314" s="239" t="s">
        <v>418</v>
      </c>
      <c r="G7314" s="242">
        <v>7</v>
      </c>
      <c r="H7314" s="144">
        <f>VLOOKUP(D7314,Bahan,6,FALSE)</f>
        <v>1040</v>
      </c>
      <c r="I7314" s="126">
        <f>G7314*H7314</f>
        <v>7280</v>
      </c>
    </row>
    <row r="7315" spans="2:10" ht="15.95" customHeight="1" thickBot="1" x14ac:dyDescent="0.3">
      <c r="C7315" s="132"/>
      <c r="D7315" s="133"/>
      <c r="E7315" s="134"/>
      <c r="F7315" s="134"/>
      <c r="G7315" s="135" t="s">
        <v>386</v>
      </c>
      <c r="H7315" s="136"/>
      <c r="I7315" s="137">
        <f>SUM(I7311:I7314)</f>
        <v>195095.1</v>
      </c>
    </row>
    <row r="7316" spans="2:10" ht="15.95" customHeight="1" thickBot="1" x14ac:dyDescent="0.3">
      <c r="C7316" s="116" t="s">
        <v>387</v>
      </c>
      <c r="D7316" s="117" t="s">
        <v>388</v>
      </c>
      <c r="E7316" s="118"/>
      <c r="F7316" s="118"/>
      <c r="G7316" s="165"/>
      <c r="H7316" s="144">
        <f>IF(AND(D7316&lt;&gt;"",F7316&lt;&gt;""),IF(C7316="",IF(F7316="OH",VLOOKUP(D7316,[1]UPAH!$B$3:$G$32,7,0),VLOOKUP(D7316,[1]BAHAN!$A$2:$D$3,4,0)),0),0)</f>
        <v>0</v>
      </c>
      <c r="I7316" s="126">
        <f>G7316*H7316</f>
        <v>0</v>
      </c>
    </row>
    <row r="7317" spans="2:10" ht="15.95" customHeight="1" thickBot="1" x14ac:dyDescent="0.3">
      <c r="C7317" s="132"/>
      <c r="D7317" s="133"/>
      <c r="E7317" s="134"/>
      <c r="F7317" s="134"/>
      <c r="G7317" s="135" t="s">
        <v>389</v>
      </c>
      <c r="H7317" s="136"/>
      <c r="I7317" s="137">
        <f>I7316</f>
        <v>0</v>
      </c>
    </row>
    <row r="7318" spans="2:10" ht="15.95" customHeight="1" x14ac:dyDescent="0.25">
      <c r="C7318" s="158" t="s">
        <v>390</v>
      </c>
      <c r="D7318" s="159" t="s">
        <v>391</v>
      </c>
      <c r="E7318" s="160"/>
      <c r="F7318" s="160"/>
      <c r="G7318" s="161"/>
      <c r="H7318" s="162">
        <f>IF(AND(D7318&lt;&gt;"",F7318&lt;&gt;""),IF(C7318="",IF(F7318="OH",VLOOKUP(D7318,[1]UPAH!$B$3:$G$32,7,0),VLOOKUP(D7318,[1]BAHAN!$A$2:$D$3,4,0)),0),0)</f>
        <v>0</v>
      </c>
      <c r="I7318" s="126">
        <f>SUM(I7305:I7317)/2</f>
        <v>578345.1</v>
      </c>
    </row>
    <row r="7319" spans="2:10" ht="15.95" customHeight="1" thickBot="1" x14ac:dyDescent="0.3">
      <c r="C7319" s="147" t="s">
        <v>392</v>
      </c>
      <c r="D7319" s="148" t="s">
        <v>393</v>
      </c>
      <c r="E7319" s="149"/>
      <c r="F7319" s="149"/>
      <c r="G7319" s="164">
        <v>0.1</v>
      </c>
      <c r="H7319" s="151"/>
      <c r="I7319" s="146">
        <f>G7319*I7318</f>
        <v>57834.51</v>
      </c>
    </row>
    <row r="7320" spans="2:10" ht="15.95" customHeight="1" thickBot="1" x14ac:dyDescent="0.3">
      <c r="C7320" s="111" t="s">
        <v>394</v>
      </c>
      <c r="D7320" s="112" t="s">
        <v>395</v>
      </c>
      <c r="E7320" s="134"/>
      <c r="F7320" s="134"/>
      <c r="G7320" s="156"/>
      <c r="H7320" s="136">
        <f>IF(AND(D7320&lt;&gt;"",F7320&lt;&gt;""),IF(C7320="",IF(F7320="OH",VLOOKUP(D7320,[1]UPAH!$B$3:$G$32,7,0),VLOOKUP(D7320,[1]BAHAN!$A$2:$D$3,4,0)),0),0)</f>
        <v>0</v>
      </c>
      <c r="I7320" s="137">
        <f>ROUNDDOWN(I7318+I7319,0)</f>
        <v>636179</v>
      </c>
    </row>
    <row r="7321" spans="2:10" ht="15.95" customHeight="1" x14ac:dyDescent="0.25">
      <c r="C7321" s="109"/>
      <c r="D7321" s="109"/>
      <c r="G7321" s="157"/>
      <c r="H7321" s="166"/>
      <c r="I7321" s="110"/>
    </row>
    <row r="7322" spans="2:10" ht="15.95" customHeight="1" thickBot="1" x14ac:dyDescent="0.3">
      <c r="B7322" s="109" t="s">
        <v>1541</v>
      </c>
      <c r="C7322" s="104" t="s">
        <v>1542</v>
      </c>
      <c r="G7322" s="157"/>
      <c r="J7322" s="110">
        <f>I7340</f>
        <v>2712115</v>
      </c>
    </row>
    <row r="7323" spans="2:10" ht="15.95" customHeight="1" thickBot="1" x14ac:dyDescent="0.3">
      <c r="C7323" s="111" t="s">
        <v>328</v>
      </c>
      <c r="D7323" s="112" t="s">
        <v>359</v>
      </c>
      <c r="E7323" s="113" t="s">
        <v>360</v>
      </c>
      <c r="F7323" s="113" t="s">
        <v>330</v>
      </c>
      <c r="G7323" s="114" t="s">
        <v>361</v>
      </c>
      <c r="H7323" s="112" t="s">
        <v>362</v>
      </c>
      <c r="I7323" s="115" t="s">
        <v>363</v>
      </c>
    </row>
    <row r="7324" spans="2:10" ht="15.95" customHeight="1" x14ac:dyDescent="0.25">
      <c r="C7324" s="116" t="s">
        <v>364</v>
      </c>
      <c r="D7324" s="117" t="s">
        <v>365</v>
      </c>
      <c r="E7324" s="118"/>
      <c r="F7324" s="118"/>
      <c r="G7324" s="165"/>
      <c r="H7324" s="144"/>
      <c r="I7324" s="126"/>
    </row>
    <row r="7325" spans="2:10" ht="15.95" customHeight="1" x14ac:dyDescent="0.25">
      <c r="C7325" s="122"/>
      <c r="D7325" s="117" t="s">
        <v>366</v>
      </c>
      <c r="E7325" s="123" t="s">
        <v>367</v>
      </c>
      <c r="F7325" s="239" t="s">
        <v>368</v>
      </c>
      <c r="G7325" s="242">
        <v>1</v>
      </c>
      <c r="H7325" s="243">
        <f>VLOOKUP(D7325,Upah,8,FALSE)</f>
        <v>125000</v>
      </c>
      <c r="I7325" s="126">
        <f>G7325*H7325</f>
        <v>125000</v>
      </c>
    </row>
    <row r="7326" spans="2:10" ht="15.95" customHeight="1" x14ac:dyDescent="0.25">
      <c r="C7326" s="122"/>
      <c r="D7326" s="117" t="s">
        <v>413</v>
      </c>
      <c r="E7326" s="123" t="s">
        <v>414</v>
      </c>
      <c r="F7326" s="239" t="s">
        <v>368</v>
      </c>
      <c r="G7326" s="242">
        <v>1</v>
      </c>
      <c r="H7326" s="243">
        <f>VLOOKUP(D7326,Upah,8,FALSE)</f>
        <v>150000</v>
      </c>
      <c r="I7326" s="126">
        <f>G7326*H7326</f>
        <v>150000</v>
      </c>
    </row>
    <row r="7327" spans="2:10" ht="15.95" customHeight="1" x14ac:dyDescent="0.25">
      <c r="C7327" s="122"/>
      <c r="D7327" s="117" t="s">
        <v>429</v>
      </c>
      <c r="E7327" s="123" t="s">
        <v>372</v>
      </c>
      <c r="F7327" s="239" t="s">
        <v>368</v>
      </c>
      <c r="G7327" s="242">
        <v>0.1</v>
      </c>
      <c r="H7327" s="243">
        <f>VLOOKUP(D7327,Upah,8,FALSE)</f>
        <v>165000</v>
      </c>
      <c r="I7327" s="126">
        <f>G7327*H7327</f>
        <v>16500</v>
      </c>
    </row>
    <row r="7328" spans="2:10" ht="15.95" customHeight="1" thickBot="1" x14ac:dyDescent="0.3">
      <c r="C7328" s="122"/>
      <c r="D7328" s="117" t="s">
        <v>373</v>
      </c>
      <c r="E7328" s="123" t="s">
        <v>374</v>
      </c>
      <c r="F7328" s="239" t="s">
        <v>368</v>
      </c>
      <c r="G7328" s="242">
        <v>0.05</v>
      </c>
      <c r="H7328" s="243">
        <f>VLOOKUP(D7328,Upah,8,FALSE)</f>
        <v>170000</v>
      </c>
      <c r="I7328" s="126">
        <f>G7328*H7328</f>
        <v>8500</v>
      </c>
    </row>
    <row r="7329" spans="2:10" ht="15.95" customHeight="1" thickBot="1" x14ac:dyDescent="0.3">
      <c r="C7329" s="132"/>
      <c r="D7329" s="133"/>
      <c r="E7329" s="134"/>
      <c r="F7329" s="134"/>
      <c r="G7329" s="135" t="s">
        <v>375</v>
      </c>
      <c r="H7329" s="136"/>
      <c r="I7329" s="137">
        <f>SUM(I7325:I7328)</f>
        <v>300000</v>
      </c>
    </row>
    <row r="7330" spans="2:10" ht="15.95" customHeight="1" x14ac:dyDescent="0.25">
      <c r="C7330" s="116" t="s">
        <v>376</v>
      </c>
      <c r="D7330" s="117" t="s">
        <v>377</v>
      </c>
      <c r="E7330" s="118"/>
      <c r="F7330" s="118"/>
      <c r="G7330" s="165"/>
      <c r="H7330" s="144"/>
      <c r="I7330" s="126"/>
    </row>
    <row r="7331" spans="2:10" ht="15.95" customHeight="1" x14ac:dyDescent="0.25">
      <c r="C7331" s="122"/>
      <c r="D7331" s="117" t="s">
        <v>1543</v>
      </c>
      <c r="E7331" s="118"/>
      <c r="F7331" s="239" t="s">
        <v>1534</v>
      </c>
      <c r="G7331" s="242">
        <v>1</v>
      </c>
      <c r="H7331" s="144">
        <f>VLOOKUP(D7331,Bahan,6,FALSE)</f>
        <v>1652000</v>
      </c>
      <c r="I7331" s="126">
        <f>G7331*H7331</f>
        <v>1652000</v>
      </c>
    </row>
    <row r="7332" spans="2:10" ht="15.95" customHeight="1" x14ac:dyDescent="0.25">
      <c r="C7332" s="122"/>
      <c r="D7332" s="117" t="s">
        <v>380</v>
      </c>
      <c r="E7332" s="118"/>
      <c r="F7332" s="239" t="s">
        <v>159</v>
      </c>
      <c r="G7332" s="242">
        <v>6</v>
      </c>
      <c r="H7332" s="144">
        <f>VLOOKUP(D7332,Bahan,6,FALSE)</f>
        <v>1880</v>
      </c>
      <c r="I7332" s="126">
        <f>G7332*H7332</f>
        <v>11280</v>
      </c>
    </row>
    <row r="7333" spans="2:10" ht="15.95" customHeight="1" x14ac:dyDescent="0.25">
      <c r="C7333" s="122"/>
      <c r="D7333" s="117" t="s">
        <v>416</v>
      </c>
      <c r="E7333" s="118"/>
      <c r="F7333" s="239" t="s">
        <v>489</v>
      </c>
      <c r="G7333" s="242">
        <v>0.01</v>
      </c>
      <c r="H7333" s="144">
        <f>VLOOKUP(D7333,Bahan,6,FALSE)</f>
        <v>253510</v>
      </c>
      <c r="I7333" s="126">
        <f>G7333*H7333</f>
        <v>2535.1</v>
      </c>
    </row>
    <row r="7334" spans="2:10" ht="15.95" customHeight="1" thickBot="1" x14ac:dyDescent="0.3">
      <c r="C7334" s="122"/>
      <c r="D7334" s="117" t="s">
        <v>1535</v>
      </c>
      <c r="E7334" s="118"/>
      <c r="F7334" s="239" t="s">
        <v>1147</v>
      </c>
      <c r="G7334" s="242">
        <v>30</v>
      </c>
      <c r="H7334" s="248">
        <f>SUM(I7331:I7333)/100</f>
        <v>16658.151000000002</v>
      </c>
      <c r="I7334" s="126">
        <f>G7334*H7334</f>
        <v>499744.53</v>
      </c>
    </row>
    <row r="7335" spans="2:10" ht="15.95" customHeight="1" thickBot="1" x14ac:dyDescent="0.3">
      <c r="C7335" s="132"/>
      <c r="D7335" s="133"/>
      <c r="E7335" s="134"/>
      <c r="F7335" s="134"/>
      <c r="G7335" s="135" t="s">
        <v>386</v>
      </c>
      <c r="H7335" s="136"/>
      <c r="I7335" s="137">
        <f>SUM(I7331:I7334)</f>
        <v>2165559.63</v>
      </c>
    </row>
    <row r="7336" spans="2:10" ht="15.95" customHeight="1" thickBot="1" x14ac:dyDescent="0.3">
      <c r="C7336" s="116" t="s">
        <v>387</v>
      </c>
      <c r="D7336" s="117" t="s">
        <v>388</v>
      </c>
      <c r="E7336" s="118"/>
      <c r="F7336" s="118"/>
      <c r="G7336" s="165"/>
      <c r="H7336" s="144">
        <f>IF(AND(D7336&lt;&gt;"",F7336&lt;&gt;""),IF(C7336="",IF(F7336="OH",VLOOKUP(D7336,[1]UPAH!$B$3:$G$32,7,0),VLOOKUP(D7336,[1]BAHAN!$A$2:$D$3,4,0)),0),0)</f>
        <v>0</v>
      </c>
      <c r="I7336" s="126">
        <f>G7336*H7336</f>
        <v>0</v>
      </c>
    </row>
    <row r="7337" spans="2:10" ht="15.95" customHeight="1" thickBot="1" x14ac:dyDescent="0.3">
      <c r="C7337" s="132"/>
      <c r="D7337" s="133"/>
      <c r="E7337" s="134"/>
      <c r="F7337" s="134"/>
      <c r="G7337" s="135" t="s">
        <v>389</v>
      </c>
      <c r="H7337" s="136"/>
      <c r="I7337" s="137">
        <f>I7336</f>
        <v>0</v>
      </c>
    </row>
    <row r="7338" spans="2:10" ht="15.95" customHeight="1" x14ac:dyDescent="0.25">
      <c r="C7338" s="158" t="s">
        <v>390</v>
      </c>
      <c r="D7338" s="159" t="s">
        <v>391</v>
      </c>
      <c r="E7338" s="160"/>
      <c r="F7338" s="160"/>
      <c r="G7338" s="161"/>
      <c r="H7338" s="162">
        <f>IF(AND(D7338&lt;&gt;"",F7338&lt;&gt;""),IF(C7338="",IF(F7338="OH",VLOOKUP(D7338,[1]UPAH!$B$3:$G$32,7,0),VLOOKUP(D7338,[1]BAHAN!$A$2:$D$3,4,0)),0),0)</f>
        <v>0</v>
      </c>
      <c r="I7338" s="126">
        <f>SUM(I7325:I7337)/2</f>
        <v>2465559.63</v>
      </c>
    </row>
    <row r="7339" spans="2:10" ht="15.95" customHeight="1" thickBot="1" x14ac:dyDescent="0.3">
      <c r="C7339" s="147" t="s">
        <v>392</v>
      </c>
      <c r="D7339" s="148" t="s">
        <v>393</v>
      </c>
      <c r="E7339" s="149"/>
      <c r="F7339" s="149"/>
      <c r="G7339" s="164">
        <v>0.1</v>
      </c>
      <c r="H7339" s="151"/>
      <c r="I7339" s="146">
        <f>G7339*I7338</f>
        <v>246555.96299999999</v>
      </c>
    </row>
    <row r="7340" spans="2:10" ht="15.95" customHeight="1" thickBot="1" x14ac:dyDescent="0.3">
      <c r="C7340" s="111" t="s">
        <v>394</v>
      </c>
      <c r="D7340" s="112" t="s">
        <v>395</v>
      </c>
      <c r="E7340" s="134"/>
      <c r="F7340" s="134"/>
      <c r="G7340" s="156"/>
      <c r="H7340" s="136">
        <f>IF(AND(D7340&lt;&gt;"",F7340&lt;&gt;""),IF(C7340="",IF(F7340="OH",VLOOKUP(D7340,[1]UPAH!$B$3:$G$32,7,0),VLOOKUP(D7340,[1]BAHAN!$A$2:$D$3,4,0)),0),0)</f>
        <v>0</v>
      </c>
      <c r="I7340" s="137">
        <f>ROUNDDOWN(I7338+I7339,0)</f>
        <v>2712115</v>
      </c>
    </row>
    <row r="7341" spans="2:10" ht="15.95" customHeight="1" x14ac:dyDescent="0.25">
      <c r="C7341" s="109"/>
      <c r="D7341" s="109"/>
      <c r="G7341" s="157"/>
      <c r="H7341" s="166"/>
      <c r="I7341" s="110"/>
    </row>
    <row r="7342" spans="2:10" ht="15.95" customHeight="1" thickBot="1" x14ac:dyDescent="0.3">
      <c r="B7342" s="109" t="s">
        <v>1544</v>
      </c>
      <c r="C7342" s="104" t="s">
        <v>1545</v>
      </c>
      <c r="G7342" s="157"/>
      <c r="J7342" s="110">
        <f>I7360</f>
        <v>1021507</v>
      </c>
    </row>
    <row r="7343" spans="2:10" ht="15.95" customHeight="1" thickBot="1" x14ac:dyDescent="0.3">
      <c r="C7343" s="111" t="s">
        <v>328</v>
      </c>
      <c r="D7343" s="112" t="s">
        <v>359</v>
      </c>
      <c r="E7343" s="113" t="s">
        <v>360</v>
      </c>
      <c r="F7343" s="113" t="s">
        <v>330</v>
      </c>
      <c r="G7343" s="114" t="s">
        <v>361</v>
      </c>
      <c r="H7343" s="112" t="s">
        <v>362</v>
      </c>
      <c r="I7343" s="115" t="s">
        <v>363</v>
      </c>
    </row>
    <row r="7344" spans="2:10" ht="15.95" customHeight="1" x14ac:dyDescent="0.25">
      <c r="C7344" s="116" t="s">
        <v>364</v>
      </c>
      <c r="D7344" s="117" t="s">
        <v>365</v>
      </c>
      <c r="E7344" s="118"/>
      <c r="F7344" s="118"/>
      <c r="G7344" s="165"/>
      <c r="H7344" s="144"/>
      <c r="I7344" s="126"/>
    </row>
    <row r="7345" spans="3:9" ht="15.95" customHeight="1" x14ac:dyDescent="0.25">
      <c r="C7345" s="122"/>
      <c r="D7345" s="117" t="s">
        <v>366</v>
      </c>
      <c r="E7345" s="123" t="s">
        <v>367</v>
      </c>
      <c r="F7345" s="239" t="s">
        <v>368</v>
      </c>
      <c r="G7345" s="242">
        <v>1.2</v>
      </c>
      <c r="H7345" s="243">
        <f>VLOOKUP(D7345,Upah,8,FALSE)</f>
        <v>125000</v>
      </c>
      <c r="I7345" s="126">
        <f>G7345*H7345</f>
        <v>150000</v>
      </c>
    </row>
    <row r="7346" spans="3:9" ht="15.95" customHeight="1" x14ac:dyDescent="0.25">
      <c r="C7346" s="122"/>
      <c r="D7346" s="117" t="s">
        <v>413</v>
      </c>
      <c r="E7346" s="123" t="s">
        <v>414</v>
      </c>
      <c r="F7346" s="239" t="s">
        <v>368</v>
      </c>
      <c r="G7346" s="242">
        <v>1.45</v>
      </c>
      <c r="H7346" s="243">
        <f>VLOOKUP(D7346,Upah,8,FALSE)</f>
        <v>150000</v>
      </c>
      <c r="I7346" s="126">
        <f>G7346*H7346</f>
        <v>217500</v>
      </c>
    </row>
    <row r="7347" spans="3:9" ht="15.95" customHeight="1" x14ac:dyDescent="0.25">
      <c r="C7347" s="122"/>
      <c r="D7347" s="117" t="s">
        <v>429</v>
      </c>
      <c r="E7347" s="123" t="s">
        <v>372</v>
      </c>
      <c r="F7347" s="239" t="s">
        <v>368</v>
      </c>
      <c r="G7347" s="242">
        <v>0.15</v>
      </c>
      <c r="H7347" s="243">
        <f>VLOOKUP(D7347,Upah,8,FALSE)</f>
        <v>165000</v>
      </c>
      <c r="I7347" s="126">
        <f>G7347*H7347</f>
        <v>24750</v>
      </c>
    </row>
    <row r="7348" spans="3:9" ht="15.95" customHeight="1" thickBot="1" x14ac:dyDescent="0.3">
      <c r="C7348" s="122"/>
      <c r="D7348" s="117" t="s">
        <v>373</v>
      </c>
      <c r="E7348" s="123" t="s">
        <v>374</v>
      </c>
      <c r="F7348" s="239" t="s">
        <v>368</v>
      </c>
      <c r="G7348" s="242">
        <v>0.06</v>
      </c>
      <c r="H7348" s="243">
        <f>VLOOKUP(D7348,Upah,8,FALSE)</f>
        <v>170000</v>
      </c>
      <c r="I7348" s="126">
        <f>G7348*H7348</f>
        <v>10200</v>
      </c>
    </row>
    <row r="7349" spans="3:9" ht="15.95" customHeight="1" thickBot="1" x14ac:dyDescent="0.3">
      <c r="C7349" s="132"/>
      <c r="D7349" s="133"/>
      <c r="E7349" s="134"/>
      <c r="F7349" s="134"/>
      <c r="G7349" s="135" t="s">
        <v>375</v>
      </c>
      <c r="H7349" s="136"/>
      <c r="I7349" s="137">
        <f>SUM(I7345:I7348)</f>
        <v>402450</v>
      </c>
    </row>
    <row r="7350" spans="3:9" ht="15.95" customHeight="1" x14ac:dyDescent="0.25">
      <c r="C7350" s="116" t="s">
        <v>376</v>
      </c>
      <c r="D7350" s="117" t="s">
        <v>377</v>
      </c>
      <c r="E7350" s="118"/>
      <c r="F7350" s="118"/>
      <c r="G7350" s="165"/>
      <c r="H7350" s="144"/>
      <c r="I7350" s="126"/>
    </row>
    <row r="7351" spans="3:9" ht="15.95" customHeight="1" x14ac:dyDescent="0.25">
      <c r="C7351" s="122"/>
      <c r="D7351" s="117" t="s">
        <v>1546</v>
      </c>
      <c r="E7351" s="118"/>
      <c r="F7351" s="239" t="s">
        <v>1534</v>
      </c>
      <c r="G7351" s="242">
        <v>1.2</v>
      </c>
      <c r="H7351" s="144">
        <f>VLOOKUP(D7351,Bahan,6,FALSE)</f>
        <v>380000</v>
      </c>
      <c r="I7351" s="126">
        <f>G7351*H7351</f>
        <v>456000</v>
      </c>
    </row>
    <row r="7352" spans="3:9" ht="15.95" customHeight="1" x14ac:dyDescent="0.25">
      <c r="C7352" s="122"/>
      <c r="D7352" s="117" t="s">
        <v>380</v>
      </c>
      <c r="E7352" s="118"/>
      <c r="F7352" s="239" t="s">
        <v>159</v>
      </c>
      <c r="G7352" s="242">
        <v>6</v>
      </c>
      <c r="H7352" s="144">
        <f>VLOOKUP(D7352,Bahan,6,FALSE)</f>
        <v>1880</v>
      </c>
      <c r="I7352" s="126">
        <f>G7352*H7352</f>
        <v>11280</v>
      </c>
    </row>
    <row r="7353" spans="3:9" ht="15.95" customHeight="1" x14ac:dyDescent="0.25">
      <c r="C7353" s="122"/>
      <c r="D7353" s="117" t="s">
        <v>416</v>
      </c>
      <c r="E7353" s="118"/>
      <c r="F7353" s="239" t="s">
        <v>489</v>
      </c>
      <c r="G7353" s="242">
        <v>0.01</v>
      </c>
      <c r="H7353" s="144">
        <f>VLOOKUP(D7353,Bahan,6,FALSE)</f>
        <v>253510</v>
      </c>
      <c r="I7353" s="126">
        <f>G7353*H7353</f>
        <v>2535.1</v>
      </c>
    </row>
    <row r="7354" spans="3:9" ht="15.95" customHeight="1" thickBot="1" x14ac:dyDescent="0.3">
      <c r="C7354" s="122"/>
      <c r="D7354" s="117" t="s">
        <v>1535</v>
      </c>
      <c r="E7354" s="118"/>
      <c r="F7354" s="239" t="s">
        <v>1147</v>
      </c>
      <c r="G7354" s="242">
        <v>12</v>
      </c>
      <c r="H7354" s="144">
        <f>SUM(I7351:I7353)/100</f>
        <v>4698.1509999999998</v>
      </c>
      <c r="I7354" s="126">
        <f>G7354*H7354</f>
        <v>56377.811999999998</v>
      </c>
    </row>
    <row r="7355" spans="3:9" ht="15.95" customHeight="1" thickBot="1" x14ac:dyDescent="0.3">
      <c r="C7355" s="132"/>
      <c r="D7355" s="133"/>
      <c r="E7355" s="134"/>
      <c r="F7355" s="134"/>
      <c r="G7355" s="135" t="s">
        <v>386</v>
      </c>
      <c r="H7355" s="136"/>
      <c r="I7355" s="137">
        <f>SUM(I7351:I7354)</f>
        <v>526192.91200000001</v>
      </c>
    </row>
    <row r="7356" spans="3:9" ht="15.95" customHeight="1" thickBot="1" x14ac:dyDescent="0.3">
      <c r="C7356" s="116" t="s">
        <v>387</v>
      </c>
      <c r="D7356" s="117" t="s">
        <v>388</v>
      </c>
      <c r="E7356" s="118"/>
      <c r="F7356" s="118"/>
      <c r="G7356" s="165"/>
      <c r="H7356" s="144">
        <f>IF(AND(D7356&lt;&gt;"",F7356&lt;&gt;""),IF(C7356="",IF(F7356="OH",VLOOKUP(D7356,[1]UPAH!$B$3:$G$32,7,0),VLOOKUP(D7356,[1]BAHAN!$A$2:$D$3,4,0)),0),0)</f>
        <v>0</v>
      </c>
      <c r="I7356" s="126">
        <f>G7356*H7356</f>
        <v>0</v>
      </c>
    </row>
    <row r="7357" spans="3:9" ht="15.95" customHeight="1" thickBot="1" x14ac:dyDescent="0.3">
      <c r="C7357" s="132"/>
      <c r="D7357" s="133"/>
      <c r="E7357" s="134"/>
      <c r="F7357" s="134"/>
      <c r="G7357" s="135" t="s">
        <v>389</v>
      </c>
      <c r="H7357" s="136"/>
      <c r="I7357" s="137">
        <f>I7356</f>
        <v>0</v>
      </c>
    </row>
    <row r="7358" spans="3:9" ht="15.95" customHeight="1" x14ac:dyDescent="0.25">
      <c r="C7358" s="158" t="s">
        <v>390</v>
      </c>
      <c r="D7358" s="159" t="s">
        <v>391</v>
      </c>
      <c r="E7358" s="160"/>
      <c r="F7358" s="160"/>
      <c r="G7358" s="161"/>
      <c r="H7358" s="162">
        <f>IF(AND(D7358&lt;&gt;"",F7358&lt;&gt;""),IF(C7358="",IF(F7358="OH",VLOOKUP(D7358,[1]UPAH!$B$3:$G$32,7,0),VLOOKUP(D7358,[1]BAHAN!$A$2:$D$3,4,0)),0),0)</f>
        <v>0</v>
      </c>
      <c r="I7358" s="126">
        <f>SUM(I7345:I7357)/2</f>
        <v>928642.91200000001</v>
      </c>
    </row>
    <row r="7359" spans="3:9" ht="15.95" customHeight="1" thickBot="1" x14ac:dyDescent="0.3">
      <c r="C7359" s="147" t="s">
        <v>392</v>
      </c>
      <c r="D7359" s="148" t="s">
        <v>393</v>
      </c>
      <c r="E7359" s="149"/>
      <c r="F7359" s="149"/>
      <c r="G7359" s="164">
        <v>0.1</v>
      </c>
      <c r="H7359" s="151"/>
      <c r="I7359" s="146">
        <f>G7359*I7358</f>
        <v>92864.291200000007</v>
      </c>
    </row>
    <row r="7360" spans="3:9" ht="15.95" customHeight="1" thickBot="1" x14ac:dyDescent="0.3">
      <c r="C7360" s="111" t="s">
        <v>394</v>
      </c>
      <c r="D7360" s="112" t="s">
        <v>395</v>
      </c>
      <c r="E7360" s="134"/>
      <c r="F7360" s="134"/>
      <c r="G7360" s="156"/>
      <c r="H7360" s="136">
        <f>IF(AND(D7360&lt;&gt;"",F7360&lt;&gt;""),IF(C7360="",IF(F7360="OH",VLOOKUP(D7360,[1]UPAH!$B$3:$G$32,7,0),VLOOKUP(D7360,[1]BAHAN!$A$2:$D$3,4,0)),0),0)</f>
        <v>0</v>
      </c>
      <c r="I7360" s="137">
        <f>ROUNDDOWN(I7358+I7359,0)</f>
        <v>1021507</v>
      </c>
    </row>
    <row r="7361" spans="2:10" ht="15.95" customHeight="1" x14ac:dyDescent="0.25">
      <c r="C7361" s="109"/>
      <c r="D7361" s="109"/>
      <c r="G7361" s="157"/>
      <c r="H7361" s="166"/>
      <c r="I7361" s="110"/>
    </row>
    <row r="7362" spans="2:10" ht="15.95" customHeight="1" thickBot="1" x14ac:dyDescent="0.3">
      <c r="B7362" s="109" t="s">
        <v>1547</v>
      </c>
      <c r="C7362" s="104" t="s">
        <v>1548</v>
      </c>
      <c r="G7362" s="157"/>
      <c r="J7362" s="110">
        <f>I7378</f>
        <v>4576836</v>
      </c>
    </row>
    <row r="7363" spans="2:10" ht="15.95" customHeight="1" thickBot="1" x14ac:dyDescent="0.3">
      <c r="C7363" s="111" t="s">
        <v>328</v>
      </c>
      <c r="D7363" s="112" t="s">
        <v>359</v>
      </c>
      <c r="E7363" s="113" t="s">
        <v>360</v>
      </c>
      <c r="F7363" s="113" t="s">
        <v>330</v>
      </c>
      <c r="G7363" s="114" t="s">
        <v>361</v>
      </c>
      <c r="H7363" s="112" t="s">
        <v>362</v>
      </c>
      <c r="I7363" s="115" t="s">
        <v>363</v>
      </c>
    </row>
    <row r="7364" spans="2:10" ht="15.95" customHeight="1" x14ac:dyDescent="0.25">
      <c r="C7364" s="116" t="s">
        <v>364</v>
      </c>
      <c r="D7364" s="117" t="s">
        <v>365</v>
      </c>
      <c r="E7364" s="118"/>
      <c r="F7364" s="118"/>
      <c r="G7364" s="165"/>
      <c r="H7364" s="144"/>
      <c r="I7364" s="126"/>
    </row>
    <row r="7365" spans="2:10" ht="15.95" customHeight="1" x14ac:dyDescent="0.25">
      <c r="C7365" s="122"/>
      <c r="D7365" s="117" t="s">
        <v>366</v>
      </c>
      <c r="E7365" s="123" t="s">
        <v>367</v>
      </c>
      <c r="F7365" s="239" t="s">
        <v>368</v>
      </c>
      <c r="G7365" s="242">
        <v>7.4999999999999997E-2</v>
      </c>
      <c r="H7365" s="243">
        <f>VLOOKUP(D7365,Upah,8,FALSE)</f>
        <v>125000</v>
      </c>
      <c r="I7365" s="126">
        <f>G7365*H7365</f>
        <v>9375</v>
      </c>
    </row>
    <row r="7366" spans="2:10" ht="15.95" customHeight="1" x14ac:dyDescent="0.25">
      <c r="C7366" s="122"/>
      <c r="D7366" s="117" t="s">
        <v>413</v>
      </c>
      <c r="E7366" s="123" t="s">
        <v>414</v>
      </c>
      <c r="F7366" s="239" t="s">
        <v>368</v>
      </c>
      <c r="G7366" s="242">
        <v>0.75</v>
      </c>
      <c r="H7366" s="243">
        <f>VLOOKUP(D7366,Upah,8,FALSE)</f>
        <v>150000</v>
      </c>
      <c r="I7366" s="126">
        <f>G7366*H7366</f>
        <v>112500</v>
      </c>
    </row>
    <row r="7367" spans="2:10" ht="15.95" customHeight="1" x14ac:dyDescent="0.25">
      <c r="C7367" s="122"/>
      <c r="D7367" s="117" t="s">
        <v>429</v>
      </c>
      <c r="E7367" s="123" t="s">
        <v>372</v>
      </c>
      <c r="F7367" s="239" t="s">
        <v>368</v>
      </c>
      <c r="G7367" s="242">
        <v>7.4999999999999997E-2</v>
      </c>
      <c r="H7367" s="243">
        <f>VLOOKUP(D7367,Upah,8,FALSE)</f>
        <v>165000</v>
      </c>
      <c r="I7367" s="126">
        <f>G7367*H7367</f>
        <v>12375</v>
      </c>
    </row>
    <row r="7368" spans="2:10" ht="15.95" customHeight="1" thickBot="1" x14ac:dyDescent="0.3">
      <c r="C7368" s="122"/>
      <c r="D7368" s="117" t="s">
        <v>373</v>
      </c>
      <c r="E7368" s="123" t="s">
        <v>374</v>
      </c>
      <c r="F7368" s="239" t="s">
        <v>368</v>
      </c>
      <c r="G7368" s="242">
        <v>3.0000000000000001E-3</v>
      </c>
      <c r="H7368" s="243">
        <f>VLOOKUP(D7368,Upah,8,FALSE)</f>
        <v>170000</v>
      </c>
      <c r="I7368" s="126">
        <f>G7368*H7368</f>
        <v>510</v>
      </c>
    </row>
    <row r="7369" spans="2:10" ht="15.95" customHeight="1" thickBot="1" x14ac:dyDescent="0.3">
      <c r="C7369" s="132"/>
      <c r="D7369" s="133"/>
      <c r="E7369" s="134"/>
      <c r="F7369" s="134"/>
      <c r="G7369" s="135" t="s">
        <v>375</v>
      </c>
      <c r="H7369" s="136"/>
      <c r="I7369" s="137">
        <f>SUM(I7365:I7368)</f>
        <v>134760</v>
      </c>
    </row>
    <row r="7370" spans="2:10" ht="15.95" customHeight="1" x14ac:dyDescent="0.25">
      <c r="C7370" s="116" t="s">
        <v>376</v>
      </c>
      <c r="D7370" s="117" t="s">
        <v>377</v>
      </c>
      <c r="E7370" s="118"/>
      <c r="F7370" s="118"/>
      <c r="G7370" s="165"/>
      <c r="H7370" s="144"/>
      <c r="I7370" s="126"/>
    </row>
    <row r="7371" spans="2:10" ht="15.95" customHeight="1" x14ac:dyDescent="0.25">
      <c r="C7371" s="122"/>
      <c r="D7371" s="117" t="s">
        <v>1549</v>
      </c>
      <c r="E7371" s="118"/>
      <c r="F7371" s="239" t="s">
        <v>1534</v>
      </c>
      <c r="G7371" s="242">
        <v>1</v>
      </c>
      <c r="H7371" s="144">
        <f>VLOOKUP(D7371,Bahan,6,FALSE)</f>
        <v>3355000</v>
      </c>
      <c r="I7371" s="126">
        <f>G7371*H7371</f>
        <v>3355000</v>
      </c>
    </row>
    <row r="7372" spans="2:10" ht="15.95" customHeight="1" thickBot="1" x14ac:dyDescent="0.3">
      <c r="C7372" s="122"/>
      <c r="D7372" s="117" t="s">
        <v>1535</v>
      </c>
      <c r="E7372" s="118"/>
      <c r="F7372" s="239" t="s">
        <v>1147</v>
      </c>
      <c r="G7372" s="242">
        <v>20</v>
      </c>
      <c r="H7372" s="144">
        <f>I7371/100</f>
        <v>33550</v>
      </c>
      <c r="I7372" s="126">
        <f>G7372*H7372</f>
        <v>671000</v>
      </c>
    </row>
    <row r="7373" spans="2:10" ht="15.95" customHeight="1" thickBot="1" x14ac:dyDescent="0.3">
      <c r="C7373" s="132"/>
      <c r="D7373" s="133"/>
      <c r="E7373" s="134"/>
      <c r="F7373" s="134"/>
      <c r="G7373" s="135" t="s">
        <v>386</v>
      </c>
      <c r="H7373" s="136"/>
      <c r="I7373" s="137">
        <f>SUM(I7371:I7372)</f>
        <v>4026000</v>
      </c>
    </row>
    <row r="7374" spans="2:10" ht="15.95" customHeight="1" thickBot="1" x14ac:dyDescent="0.3">
      <c r="C7374" s="116" t="s">
        <v>387</v>
      </c>
      <c r="D7374" s="117" t="s">
        <v>388</v>
      </c>
      <c r="E7374" s="118"/>
      <c r="F7374" s="118"/>
      <c r="G7374" s="165"/>
      <c r="H7374" s="144">
        <f>IF(AND(D7374&lt;&gt;"",F7374&lt;&gt;""),IF(C7374="",IF(F7374="OH",VLOOKUP(D7374,[1]UPAH!$B$3:$G$32,7,0),VLOOKUP(D7374,[1]BAHAN!$A$2:$D$3,4,0)),0),0)</f>
        <v>0</v>
      </c>
      <c r="I7374" s="126">
        <f>G7374*H7374</f>
        <v>0</v>
      </c>
    </row>
    <row r="7375" spans="2:10" ht="15.95" customHeight="1" thickBot="1" x14ac:dyDescent="0.3">
      <c r="C7375" s="132"/>
      <c r="D7375" s="133"/>
      <c r="E7375" s="134"/>
      <c r="F7375" s="134"/>
      <c r="G7375" s="135" t="s">
        <v>389</v>
      </c>
      <c r="H7375" s="136"/>
      <c r="I7375" s="137">
        <f>I7374</f>
        <v>0</v>
      </c>
    </row>
    <row r="7376" spans="2:10" ht="15.95" customHeight="1" x14ac:dyDescent="0.25">
      <c r="C7376" s="158" t="s">
        <v>390</v>
      </c>
      <c r="D7376" s="159" t="s">
        <v>391</v>
      </c>
      <c r="E7376" s="160"/>
      <c r="F7376" s="160"/>
      <c r="G7376" s="161"/>
      <c r="H7376" s="162">
        <f>IF(AND(D7376&lt;&gt;"",F7376&lt;&gt;""),IF(C7376="",IF(F7376="OH",VLOOKUP(D7376,[1]UPAH!$B$3:$G$32,7,0),VLOOKUP(D7376,[1]BAHAN!$A$2:$D$3,4,0)),0),0)</f>
        <v>0</v>
      </c>
      <c r="I7376" s="126">
        <f>SUM(I7365:I7375)/2</f>
        <v>4160760</v>
      </c>
    </row>
    <row r="7377" spans="2:10" ht="15.95" customHeight="1" thickBot="1" x14ac:dyDescent="0.3">
      <c r="C7377" s="147" t="s">
        <v>392</v>
      </c>
      <c r="D7377" s="148" t="s">
        <v>393</v>
      </c>
      <c r="E7377" s="149"/>
      <c r="F7377" s="149"/>
      <c r="G7377" s="164">
        <v>0.1</v>
      </c>
      <c r="H7377" s="151"/>
      <c r="I7377" s="146">
        <f>G7377*I7376</f>
        <v>416076</v>
      </c>
    </row>
    <row r="7378" spans="2:10" ht="15.95" customHeight="1" thickBot="1" x14ac:dyDescent="0.3">
      <c r="C7378" s="111" t="s">
        <v>394</v>
      </c>
      <c r="D7378" s="112" t="s">
        <v>395</v>
      </c>
      <c r="E7378" s="134"/>
      <c r="F7378" s="134"/>
      <c r="G7378" s="156"/>
      <c r="H7378" s="136">
        <f>IF(AND(D7378&lt;&gt;"",F7378&lt;&gt;""),IF(C7378="",IF(F7378="OH",VLOOKUP(D7378,[1]UPAH!$B$3:$G$32,7,0),VLOOKUP(D7378,[1]BAHAN!$A$2:$D$3,4,0)),0),0)</f>
        <v>0</v>
      </c>
      <c r="I7378" s="137">
        <f>ROUNDDOWN(I7376+I7377,0)</f>
        <v>4576836</v>
      </c>
    </row>
    <row r="7379" spans="2:10" ht="15.95" customHeight="1" x14ac:dyDescent="0.25">
      <c r="C7379" s="109"/>
      <c r="D7379" s="109"/>
      <c r="G7379" s="157"/>
      <c r="H7379" s="166"/>
      <c r="I7379" s="110"/>
    </row>
    <row r="7380" spans="2:10" ht="15.95" customHeight="1" thickBot="1" x14ac:dyDescent="0.3">
      <c r="B7380" s="109" t="s">
        <v>1550</v>
      </c>
      <c r="C7380" s="104" t="s">
        <v>1551</v>
      </c>
      <c r="G7380" s="157"/>
      <c r="J7380" s="110">
        <f>I7396</f>
        <v>1817290</v>
      </c>
    </row>
    <row r="7381" spans="2:10" ht="15.95" customHeight="1" thickBot="1" x14ac:dyDescent="0.3">
      <c r="C7381" s="111" t="s">
        <v>328</v>
      </c>
      <c r="D7381" s="112" t="s">
        <v>359</v>
      </c>
      <c r="E7381" s="113" t="s">
        <v>360</v>
      </c>
      <c r="F7381" s="113" t="s">
        <v>330</v>
      </c>
      <c r="G7381" s="114" t="s">
        <v>361</v>
      </c>
      <c r="H7381" s="112" t="s">
        <v>362</v>
      </c>
      <c r="I7381" s="115" t="s">
        <v>363</v>
      </c>
    </row>
    <row r="7382" spans="2:10" ht="15.95" customHeight="1" x14ac:dyDescent="0.25">
      <c r="C7382" s="158" t="s">
        <v>364</v>
      </c>
      <c r="D7382" s="159" t="s">
        <v>365</v>
      </c>
      <c r="E7382" s="160"/>
      <c r="F7382" s="160"/>
      <c r="G7382" s="161"/>
      <c r="H7382" s="162"/>
      <c r="I7382" s="163"/>
    </row>
    <row r="7383" spans="2:10" ht="15.95" customHeight="1" x14ac:dyDescent="0.25">
      <c r="C7383" s="122"/>
      <c r="D7383" s="117" t="s">
        <v>366</v>
      </c>
      <c r="E7383" s="123" t="s">
        <v>367</v>
      </c>
      <c r="F7383" s="239" t="s">
        <v>368</v>
      </c>
      <c r="G7383" s="242">
        <v>3</v>
      </c>
      <c r="H7383" s="243">
        <f>VLOOKUP(D7383,Upah,8,FALSE)</f>
        <v>125000</v>
      </c>
      <c r="I7383" s="126">
        <f>G7383*H7383</f>
        <v>375000</v>
      </c>
    </row>
    <row r="7384" spans="2:10" ht="15.95" customHeight="1" x14ac:dyDescent="0.25">
      <c r="C7384" s="122"/>
      <c r="D7384" s="117" t="s">
        <v>413</v>
      </c>
      <c r="E7384" s="123" t="s">
        <v>414</v>
      </c>
      <c r="F7384" s="239" t="s">
        <v>368</v>
      </c>
      <c r="G7384" s="242">
        <v>4.5</v>
      </c>
      <c r="H7384" s="243">
        <f>VLOOKUP(D7384,Upah,8,FALSE)</f>
        <v>150000</v>
      </c>
      <c r="I7384" s="126">
        <f>G7384*H7384</f>
        <v>675000</v>
      </c>
    </row>
    <row r="7385" spans="2:10" ht="15.95" customHeight="1" x14ac:dyDescent="0.25">
      <c r="C7385" s="122"/>
      <c r="D7385" s="117" t="s">
        <v>429</v>
      </c>
      <c r="E7385" s="123" t="s">
        <v>372</v>
      </c>
      <c r="F7385" s="239" t="s">
        <v>368</v>
      </c>
      <c r="G7385" s="242">
        <v>0.05</v>
      </c>
      <c r="H7385" s="243">
        <f>VLOOKUP(D7385,Upah,8,FALSE)</f>
        <v>165000</v>
      </c>
      <c r="I7385" s="126">
        <f>G7385*H7385</f>
        <v>8250</v>
      </c>
    </row>
    <row r="7386" spans="2:10" ht="15.95" customHeight="1" thickBot="1" x14ac:dyDescent="0.3">
      <c r="C7386" s="122"/>
      <c r="D7386" s="117" t="s">
        <v>373</v>
      </c>
      <c r="E7386" s="123" t="s">
        <v>374</v>
      </c>
      <c r="F7386" s="239" t="s">
        <v>368</v>
      </c>
      <c r="G7386" s="242">
        <v>0.9</v>
      </c>
      <c r="H7386" s="243">
        <f>VLOOKUP(D7386,Upah,8,FALSE)</f>
        <v>170000</v>
      </c>
      <c r="I7386" s="126">
        <f>G7386*H7386</f>
        <v>153000</v>
      </c>
    </row>
    <row r="7387" spans="2:10" ht="15.95" customHeight="1" thickBot="1" x14ac:dyDescent="0.3">
      <c r="C7387" s="132"/>
      <c r="D7387" s="133"/>
      <c r="E7387" s="134"/>
      <c r="F7387" s="134"/>
      <c r="G7387" s="135" t="s">
        <v>375</v>
      </c>
      <c r="H7387" s="136"/>
      <c r="I7387" s="137">
        <f>SUM(I7383:I7386)</f>
        <v>1211250</v>
      </c>
    </row>
    <row r="7388" spans="2:10" ht="15.95" customHeight="1" x14ac:dyDescent="0.25">
      <c r="C7388" s="116" t="s">
        <v>376</v>
      </c>
      <c r="D7388" s="117" t="s">
        <v>377</v>
      </c>
      <c r="E7388" s="118"/>
      <c r="F7388" s="118"/>
      <c r="G7388" s="165"/>
      <c r="H7388" s="144"/>
      <c r="I7388" s="126"/>
    </row>
    <row r="7389" spans="2:10" ht="15.95" customHeight="1" x14ac:dyDescent="0.25">
      <c r="C7389" s="122"/>
      <c r="D7389" s="117" t="s">
        <v>1552</v>
      </c>
      <c r="E7389" s="118"/>
      <c r="F7389" s="239" t="s">
        <v>1534</v>
      </c>
      <c r="G7389" s="242">
        <v>1</v>
      </c>
      <c r="H7389" s="144">
        <f>VLOOKUP(D7389,Bahan,6,FALSE)</f>
        <v>393600</v>
      </c>
      <c r="I7389" s="126">
        <f>G7389*H7389</f>
        <v>393600</v>
      </c>
    </row>
    <row r="7390" spans="2:10" ht="15.95" customHeight="1" thickBot="1" x14ac:dyDescent="0.3">
      <c r="C7390" s="122"/>
      <c r="D7390" s="117" t="s">
        <v>1535</v>
      </c>
      <c r="E7390" s="118"/>
      <c r="F7390" s="239" t="s">
        <v>1147</v>
      </c>
      <c r="G7390" s="242">
        <v>12</v>
      </c>
      <c r="H7390" s="144">
        <f>I7389/100</f>
        <v>3936</v>
      </c>
      <c r="I7390" s="126">
        <f>G7390*H7390</f>
        <v>47232</v>
      </c>
    </row>
    <row r="7391" spans="2:10" ht="15.95" customHeight="1" thickBot="1" x14ac:dyDescent="0.3">
      <c r="C7391" s="132"/>
      <c r="D7391" s="133"/>
      <c r="E7391" s="134"/>
      <c r="F7391" s="134"/>
      <c r="G7391" s="135" t="s">
        <v>386</v>
      </c>
      <c r="H7391" s="136"/>
      <c r="I7391" s="137">
        <f>SUM(I7389:I7390)</f>
        <v>440832</v>
      </c>
    </row>
    <row r="7392" spans="2:10" ht="15.95" customHeight="1" thickBot="1" x14ac:dyDescent="0.3">
      <c r="C7392" s="116" t="s">
        <v>387</v>
      </c>
      <c r="D7392" s="117" t="s">
        <v>388</v>
      </c>
      <c r="E7392" s="118"/>
      <c r="F7392" s="118"/>
      <c r="G7392" s="165"/>
      <c r="H7392" s="144">
        <f>IF(AND(D7392&lt;&gt;"",F7392&lt;&gt;""),IF(C7392="",IF(F7392="OH",VLOOKUP(D7392,[1]UPAH!$B$3:$G$32,7,0),VLOOKUP(D7392,[1]BAHAN!$A$2:$D$3,4,0)),0),0)</f>
        <v>0</v>
      </c>
      <c r="I7392" s="126">
        <f>G7392*H7392</f>
        <v>0</v>
      </c>
    </row>
    <row r="7393" spans="2:10" ht="15.95" customHeight="1" thickBot="1" x14ac:dyDescent="0.3">
      <c r="C7393" s="132"/>
      <c r="D7393" s="133"/>
      <c r="E7393" s="134"/>
      <c r="F7393" s="134"/>
      <c r="G7393" s="135" t="s">
        <v>389</v>
      </c>
      <c r="H7393" s="136"/>
      <c r="I7393" s="137">
        <f>I7392</f>
        <v>0</v>
      </c>
    </row>
    <row r="7394" spans="2:10" ht="15.95" customHeight="1" x14ac:dyDescent="0.25">
      <c r="C7394" s="158" t="s">
        <v>390</v>
      </c>
      <c r="D7394" s="159" t="s">
        <v>391</v>
      </c>
      <c r="E7394" s="160"/>
      <c r="F7394" s="160"/>
      <c r="G7394" s="161"/>
      <c r="H7394" s="162">
        <f>IF(AND(D7394&lt;&gt;"",F7394&lt;&gt;""),IF(C7394="",IF(F7394="OH",VLOOKUP(D7394,[1]UPAH!$B$3:$G$32,7,0),VLOOKUP(D7394,[1]BAHAN!$A$2:$D$3,4,0)),0),0)</f>
        <v>0</v>
      </c>
      <c r="I7394" s="126">
        <f>SUM(I7383:I7393)/2</f>
        <v>1652082</v>
      </c>
    </row>
    <row r="7395" spans="2:10" ht="15.95" customHeight="1" thickBot="1" x14ac:dyDescent="0.3">
      <c r="C7395" s="147" t="s">
        <v>392</v>
      </c>
      <c r="D7395" s="148" t="s">
        <v>393</v>
      </c>
      <c r="E7395" s="149"/>
      <c r="F7395" s="149"/>
      <c r="G7395" s="164">
        <v>0.1</v>
      </c>
      <c r="H7395" s="151"/>
      <c r="I7395" s="146">
        <f>G7395*I7394</f>
        <v>165208.20000000001</v>
      </c>
    </row>
    <row r="7396" spans="2:10" ht="15.95" customHeight="1" thickBot="1" x14ac:dyDescent="0.3">
      <c r="C7396" s="111" t="s">
        <v>394</v>
      </c>
      <c r="D7396" s="112" t="s">
        <v>395</v>
      </c>
      <c r="E7396" s="134"/>
      <c r="F7396" s="134"/>
      <c r="G7396" s="156"/>
      <c r="H7396" s="136">
        <f>IF(AND(D7396&lt;&gt;"",F7396&lt;&gt;""),IF(C7396="",IF(F7396="OH",VLOOKUP(D7396,[1]UPAH!$B$3:$G$32,7,0),VLOOKUP(D7396,[1]BAHAN!$A$2:$D$3,4,0)),0),0)</f>
        <v>0</v>
      </c>
      <c r="I7396" s="137">
        <f>ROUNDDOWN(I7394+I7395,0)</f>
        <v>1817290</v>
      </c>
    </row>
    <row r="7397" spans="2:10" ht="15.95" customHeight="1" x14ac:dyDescent="0.25">
      <c r="C7397" s="109"/>
      <c r="D7397" s="109"/>
      <c r="G7397" s="157"/>
      <c r="H7397" s="166"/>
      <c r="I7397" s="110"/>
    </row>
    <row r="7398" spans="2:10" ht="15.95" customHeight="1" thickBot="1" x14ac:dyDescent="0.3">
      <c r="B7398" s="109" t="s">
        <v>1553</v>
      </c>
      <c r="C7398" s="104" t="s">
        <v>1554</v>
      </c>
      <c r="G7398" s="157"/>
      <c r="J7398" s="110">
        <f>I7417</f>
        <v>5170674</v>
      </c>
    </row>
    <row r="7399" spans="2:10" ht="15.95" customHeight="1" thickBot="1" x14ac:dyDescent="0.3">
      <c r="C7399" s="111" t="s">
        <v>328</v>
      </c>
      <c r="D7399" s="112" t="s">
        <v>359</v>
      </c>
      <c r="E7399" s="113" t="s">
        <v>360</v>
      </c>
      <c r="F7399" s="113" t="s">
        <v>330</v>
      </c>
      <c r="G7399" s="114" t="s">
        <v>361</v>
      </c>
      <c r="H7399" s="112" t="s">
        <v>362</v>
      </c>
      <c r="I7399" s="115" t="s">
        <v>363</v>
      </c>
    </row>
    <row r="7400" spans="2:10" ht="15.95" customHeight="1" x14ac:dyDescent="0.25">
      <c r="C7400" s="116" t="s">
        <v>364</v>
      </c>
      <c r="D7400" s="117" t="s">
        <v>365</v>
      </c>
      <c r="E7400" s="118"/>
      <c r="F7400" s="118"/>
      <c r="G7400" s="165"/>
      <c r="H7400" s="144"/>
      <c r="I7400" s="126"/>
    </row>
    <row r="7401" spans="2:10" ht="15.95" customHeight="1" x14ac:dyDescent="0.25">
      <c r="C7401" s="122"/>
      <c r="D7401" s="117" t="s">
        <v>366</v>
      </c>
      <c r="E7401" s="123" t="s">
        <v>367</v>
      </c>
      <c r="F7401" s="239" t="s">
        <v>368</v>
      </c>
      <c r="G7401" s="242">
        <v>6</v>
      </c>
      <c r="H7401" s="243">
        <f>VLOOKUP(D7401,Upah,8,FALSE)</f>
        <v>125000</v>
      </c>
      <c r="I7401" s="126">
        <f>G7401*H7401</f>
        <v>750000</v>
      </c>
    </row>
    <row r="7402" spans="2:10" ht="15.95" customHeight="1" x14ac:dyDescent="0.25">
      <c r="C7402" s="122"/>
      <c r="D7402" s="117" t="s">
        <v>413</v>
      </c>
      <c r="E7402" s="123" t="s">
        <v>414</v>
      </c>
      <c r="F7402" s="239" t="s">
        <v>368</v>
      </c>
      <c r="G7402" s="242">
        <v>3</v>
      </c>
      <c r="H7402" s="243">
        <f>VLOOKUP(D7402,Upah,8,FALSE)</f>
        <v>150000</v>
      </c>
      <c r="I7402" s="126">
        <f>G7402*H7402</f>
        <v>450000</v>
      </c>
    </row>
    <row r="7403" spans="2:10" ht="15.95" customHeight="1" x14ac:dyDescent="0.25">
      <c r="C7403" s="122"/>
      <c r="D7403" s="117" t="s">
        <v>429</v>
      </c>
      <c r="E7403" s="123" t="s">
        <v>372</v>
      </c>
      <c r="F7403" s="239" t="s">
        <v>368</v>
      </c>
      <c r="G7403" s="242">
        <v>0.3</v>
      </c>
      <c r="H7403" s="243">
        <f>VLOOKUP(D7403,Upah,8,FALSE)</f>
        <v>165000</v>
      </c>
      <c r="I7403" s="126">
        <f>G7403*H7403</f>
        <v>49500</v>
      </c>
    </row>
    <row r="7404" spans="2:10" ht="15.95" customHeight="1" thickBot="1" x14ac:dyDescent="0.3">
      <c r="C7404" s="122"/>
      <c r="D7404" s="117" t="s">
        <v>373</v>
      </c>
      <c r="E7404" s="123" t="s">
        <v>374</v>
      </c>
      <c r="F7404" s="239" t="s">
        <v>368</v>
      </c>
      <c r="G7404" s="242">
        <v>0.03</v>
      </c>
      <c r="H7404" s="243">
        <f>VLOOKUP(D7404,Upah,8,FALSE)</f>
        <v>170000</v>
      </c>
      <c r="I7404" s="126">
        <f>G7404*H7404</f>
        <v>5100</v>
      </c>
    </row>
    <row r="7405" spans="2:10" ht="15.95" customHeight="1" thickBot="1" x14ac:dyDescent="0.3">
      <c r="C7405" s="132"/>
      <c r="D7405" s="133"/>
      <c r="E7405" s="134"/>
      <c r="F7405" s="134"/>
      <c r="G7405" s="135" t="s">
        <v>375</v>
      </c>
      <c r="H7405" s="136"/>
      <c r="I7405" s="137">
        <f>SUM(I7401:I7404)</f>
        <v>1254600</v>
      </c>
    </row>
    <row r="7406" spans="2:10" ht="15.95" customHeight="1" x14ac:dyDescent="0.25">
      <c r="C7406" s="116" t="s">
        <v>376</v>
      </c>
      <c r="D7406" s="117" t="s">
        <v>377</v>
      </c>
      <c r="E7406" s="118"/>
      <c r="F7406" s="118"/>
      <c r="G7406" s="165"/>
      <c r="H7406" s="144"/>
      <c r="I7406" s="126"/>
    </row>
    <row r="7407" spans="2:10" ht="15.95" customHeight="1" x14ac:dyDescent="0.25">
      <c r="C7407" s="122"/>
      <c r="D7407" s="117" t="s">
        <v>417</v>
      </c>
      <c r="E7407" s="118"/>
      <c r="F7407" s="239" t="s">
        <v>489</v>
      </c>
      <c r="G7407" s="242">
        <v>150</v>
      </c>
      <c r="H7407" s="144">
        <f>VLOOKUP(D7407,Bahan,6,FALSE)</f>
        <v>1040</v>
      </c>
      <c r="I7407" s="126">
        <f>G7407*H7407</f>
        <v>156000</v>
      </c>
    </row>
    <row r="7408" spans="2:10" ht="15.95" customHeight="1" x14ac:dyDescent="0.25">
      <c r="C7408" s="122"/>
      <c r="D7408" s="117" t="s">
        <v>380</v>
      </c>
      <c r="E7408" s="118"/>
      <c r="F7408" s="239" t="s">
        <v>159</v>
      </c>
      <c r="G7408" s="242">
        <v>120</v>
      </c>
      <c r="H7408" s="144">
        <f>VLOOKUP(D7408,Bahan,6,FALSE)</f>
        <v>1880</v>
      </c>
      <c r="I7408" s="126">
        <f>G7408*H7408</f>
        <v>225600</v>
      </c>
    </row>
    <row r="7409" spans="2:10" ht="15.95" customHeight="1" x14ac:dyDescent="0.25">
      <c r="C7409" s="122"/>
      <c r="D7409" s="117" t="s">
        <v>416</v>
      </c>
      <c r="E7409" s="118"/>
      <c r="F7409" s="239" t="s">
        <v>489</v>
      </c>
      <c r="G7409" s="242">
        <v>0.3</v>
      </c>
      <c r="H7409" s="144">
        <f>VLOOKUP(D7409,Bahan,6,FALSE)</f>
        <v>253510</v>
      </c>
      <c r="I7409" s="126">
        <f>G7409*H7409</f>
        <v>76053</v>
      </c>
    </row>
    <row r="7410" spans="2:10" ht="15.95" customHeight="1" x14ac:dyDescent="0.25">
      <c r="C7410" s="122"/>
      <c r="D7410" s="117" t="s">
        <v>1555</v>
      </c>
      <c r="E7410" s="118"/>
      <c r="F7410" s="239" t="s">
        <v>130</v>
      </c>
      <c r="G7410" s="242">
        <v>360</v>
      </c>
      <c r="H7410" s="144">
        <f>VLOOKUP(D7410,Bahan,6,FALSE)</f>
        <v>8260</v>
      </c>
      <c r="I7410" s="126">
        <f>G7410*H7410</f>
        <v>2973600</v>
      </c>
    </row>
    <row r="7411" spans="2:10" ht="15.95" customHeight="1" thickBot="1" x14ac:dyDescent="0.3">
      <c r="C7411" s="122"/>
      <c r="D7411" s="117" t="s">
        <v>1042</v>
      </c>
      <c r="E7411" s="118"/>
      <c r="F7411" s="239" t="s">
        <v>159</v>
      </c>
      <c r="G7411" s="242">
        <v>6</v>
      </c>
      <c r="H7411" s="144">
        <f>VLOOKUP(D7411,Bahan,6,FALSE)</f>
        <v>2460</v>
      </c>
      <c r="I7411" s="126">
        <f>G7411*H7411</f>
        <v>14760</v>
      </c>
    </row>
    <row r="7412" spans="2:10" ht="15.95" customHeight="1" thickBot="1" x14ac:dyDescent="0.3">
      <c r="C7412" s="132"/>
      <c r="D7412" s="133"/>
      <c r="E7412" s="134"/>
      <c r="F7412" s="134"/>
      <c r="G7412" s="135" t="s">
        <v>386</v>
      </c>
      <c r="H7412" s="136"/>
      <c r="I7412" s="137">
        <f>SUM(I7407:I7411)</f>
        <v>3446013</v>
      </c>
    </row>
    <row r="7413" spans="2:10" ht="15.95" customHeight="1" thickBot="1" x14ac:dyDescent="0.3">
      <c r="C7413" s="116" t="s">
        <v>387</v>
      </c>
      <c r="D7413" s="117" t="s">
        <v>388</v>
      </c>
      <c r="E7413" s="118"/>
      <c r="F7413" s="118"/>
      <c r="G7413" s="165"/>
      <c r="H7413" s="144">
        <f>IF(AND(D7413&lt;&gt;"",F7413&lt;&gt;""),IF(C7413="",IF(F7413="OH",VLOOKUP(D7413,[1]UPAH!$B$3:$G$32,7,0),VLOOKUP(D7413,[1]BAHAN!$A$2:$D$3,4,0)),0),0)</f>
        <v>0</v>
      </c>
      <c r="I7413" s="126">
        <f>G7413*H7413</f>
        <v>0</v>
      </c>
    </row>
    <row r="7414" spans="2:10" ht="15.95" customHeight="1" thickBot="1" x14ac:dyDescent="0.3">
      <c r="C7414" s="132"/>
      <c r="D7414" s="133"/>
      <c r="E7414" s="134"/>
      <c r="F7414" s="134"/>
      <c r="G7414" s="135" t="s">
        <v>389</v>
      </c>
      <c r="H7414" s="136"/>
      <c r="I7414" s="137">
        <f>I7413</f>
        <v>0</v>
      </c>
    </row>
    <row r="7415" spans="2:10" ht="15.95" customHeight="1" x14ac:dyDescent="0.25">
      <c r="C7415" s="158" t="s">
        <v>390</v>
      </c>
      <c r="D7415" s="159" t="s">
        <v>391</v>
      </c>
      <c r="E7415" s="160"/>
      <c r="F7415" s="160"/>
      <c r="G7415" s="161"/>
      <c r="H7415" s="162">
        <f>IF(AND(D7415&lt;&gt;"",F7415&lt;&gt;""),IF(C7415="",IF(F7415="OH",VLOOKUP(D7415,[1]UPAH!$B$3:$G$32,7,0),VLOOKUP(D7415,[1]BAHAN!$A$2:$D$3,4,0)),0),0)</f>
        <v>0</v>
      </c>
      <c r="I7415" s="126">
        <f>SUM(I7401:I7414)/2</f>
        <v>4700613</v>
      </c>
    </row>
    <row r="7416" spans="2:10" ht="15.95" customHeight="1" thickBot="1" x14ac:dyDescent="0.3">
      <c r="C7416" s="147" t="s">
        <v>392</v>
      </c>
      <c r="D7416" s="148" t="s">
        <v>393</v>
      </c>
      <c r="E7416" s="149"/>
      <c r="F7416" s="149"/>
      <c r="G7416" s="164">
        <v>0.1</v>
      </c>
      <c r="H7416" s="151"/>
      <c r="I7416" s="146">
        <f>G7416*I7415</f>
        <v>470061.30000000005</v>
      </c>
    </row>
    <row r="7417" spans="2:10" ht="15.95" customHeight="1" thickBot="1" x14ac:dyDescent="0.3">
      <c r="C7417" s="111" t="s">
        <v>394</v>
      </c>
      <c r="D7417" s="112" t="s">
        <v>395</v>
      </c>
      <c r="E7417" s="134"/>
      <c r="F7417" s="134"/>
      <c r="G7417" s="156"/>
      <c r="H7417" s="136">
        <f>IF(AND(D7417&lt;&gt;"",F7417&lt;&gt;""),IF(C7417="",IF(F7417="OH",VLOOKUP(D7417,[1]UPAH!$B$3:$G$32,7,0),VLOOKUP(D7417,[1]BAHAN!$A$2:$D$3,4,0)),0),0)</f>
        <v>0</v>
      </c>
      <c r="I7417" s="137">
        <f>ROUNDDOWN(I7415+I7416,0)</f>
        <v>5170674</v>
      </c>
    </row>
    <row r="7418" spans="2:10" ht="15.95" customHeight="1" x14ac:dyDescent="0.25">
      <c r="C7418" s="109"/>
      <c r="D7418" s="109"/>
      <c r="G7418" s="157"/>
      <c r="H7418" s="166"/>
      <c r="I7418" s="110"/>
    </row>
    <row r="7419" spans="2:10" ht="15.95" customHeight="1" thickBot="1" x14ac:dyDescent="0.3">
      <c r="B7419" s="109" t="s">
        <v>1556</v>
      </c>
      <c r="C7419" s="104" t="s">
        <v>1557</v>
      </c>
      <c r="G7419" s="157"/>
      <c r="J7419" s="110">
        <f>I7435</f>
        <v>1817290</v>
      </c>
    </row>
    <row r="7420" spans="2:10" ht="15.95" customHeight="1" thickBot="1" x14ac:dyDescent="0.3">
      <c r="C7420" s="111" t="s">
        <v>328</v>
      </c>
      <c r="D7420" s="112" t="s">
        <v>359</v>
      </c>
      <c r="E7420" s="113" t="s">
        <v>360</v>
      </c>
      <c r="F7420" s="113" t="s">
        <v>330</v>
      </c>
      <c r="G7420" s="114" t="s">
        <v>361</v>
      </c>
      <c r="H7420" s="112" t="s">
        <v>362</v>
      </c>
      <c r="I7420" s="115" t="s">
        <v>363</v>
      </c>
    </row>
    <row r="7421" spans="2:10" ht="15.95" customHeight="1" x14ac:dyDescent="0.25">
      <c r="C7421" s="158" t="s">
        <v>364</v>
      </c>
      <c r="D7421" s="159" t="s">
        <v>365</v>
      </c>
      <c r="E7421" s="160"/>
      <c r="F7421" s="160"/>
      <c r="G7421" s="161"/>
      <c r="H7421" s="162"/>
      <c r="I7421" s="163"/>
    </row>
    <row r="7422" spans="2:10" ht="15.95" customHeight="1" x14ac:dyDescent="0.25">
      <c r="C7422" s="122"/>
      <c r="D7422" s="117" t="s">
        <v>366</v>
      </c>
      <c r="E7422" s="123" t="s">
        <v>367</v>
      </c>
      <c r="F7422" s="239" t="s">
        <v>368</v>
      </c>
      <c r="G7422" s="242">
        <v>3</v>
      </c>
      <c r="H7422" s="243">
        <f>VLOOKUP(D7422,Upah,8,FALSE)</f>
        <v>125000</v>
      </c>
      <c r="I7422" s="126">
        <f>G7422*H7422</f>
        <v>375000</v>
      </c>
    </row>
    <row r="7423" spans="2:10" ht="15.95" customHeight="1" x14ac:dyDescent="0.25">
      <c r="C7423" s="122"/>
      <c r="D7423" s="117" t="s">
        <v>413</v>
      </c>
      <c r="E7423" s="123" t="s">
        <v>414</v>
      </c>
      <c r="F7423" s="239" t="s">
        <v>368</v>
      </c>
      <c r="G7423" s="242">
        <v>4.5</v>
      </c>
      <c r="H7423" s="243">
        <f>VLOOKUP(D7423,Upah,8,FALSE)</f>
        <v>150000</v>
      </c>
      <c r="I7423" s="126">
        <f>G7423*H7423</f>
        <v>675000</v>
      </c>
    </row>
    <row r="7424" spans="2:10" ht="15.95" customHeight="1" x14ac:dyDescent="0.25">
      <c r="C7424" s="122"/>
      <c r="D7424" s="117" t="s">
        <v>429</v>
      </c>
      <c r="E7424" s="123" t="s">
        <v>372</v>
      </c>
      <c r="F7424" s="239" t="s">
        <v>368</v>
      </c>
      <c r="G7424" s="242">
        <v>0.05</v>
      </c>
      <c r="H7424" s="243">
        <f>VLOOKUP(D7424,Upah,8,FALSE)</f>
        <v>165000</v>
      </c>
      <c r="I7424" s="126">
        <f>G7424*H7424</f>
        <v>8250</v>
      </c>
    </row>
    <row r="7425" spans="2:10" ht="15.95" customHeight="1" thickBot="1" x14ac:dyDescent="0.3">
      <c r="C7425" s="122"/>
      <c r="D7425" s="117" t="s">
        <v>373</v>
      </c>
      <c r="E7425" s="123" t="s">
        <v>374</v>
      </c>
      <c r="F7425" s="239" t="s">
        <v>368</v>
      </c>
      <c r="G7425" s="242">
        <v>0.9</v>
      </c>
      <c r="H7425" s="243">
        <f>VLOOKUP(D7425,Upah,8,FALSE)</f>
        <v>170000</v>
      </c>
      <c r="I7425" s="126">
        <f>G7425*H7425</f>
        <v>153000</v>
      </c>
    </row>
    <row r="7426" spans="2:10" ht="15.95" customHeight="1" thickBot="1" x14ac:dyDescent="0.3">
      <c r="C7426" s="132"/>
      <c r="D7426" s="133"/>
      <c r="E7426" s="134"/>
      <c r="F7426" s="134"/>
      <c r="G7426" s="135" t="s">
        <v>375</v>
      </c>
      <c r="H7426" s="136"/>
      <c r="I7426" s="137">
        <f>SUM(I7422:I7425)</f>
        <v>1211250</v>
      </c>
    </row>
    <row r="7427" spans="2:10" ht="15.95" customHeight="1" x14ac:dyDescent="0.25">
      <c r="C7427" s="116" t="s">
        <v>376</v>
      </c>
      <c r="D7427" s="117" t="s">
        <v>377</v>
      </c>
      <c r="E7427" s="118"/>
      <c r="F7427" s="118"/>
      <c r="G7427" s="165"/>
      <c r="H7427" s="144"/>
      <c r="I7427" s="126"/>
    </row>
    <row r="7428" spans="2:10" ht="15.95" customHeight="1" x14ac:dyDescent="0.25">
      <c r="C7428" s="122"/>
      <c r="D7428" s="117" t="s">
        <v>1552</v>
      </c>
      <c r="E7428" s="118"/>
      <c r="F7428" s="239" t="s">
        <v>1534</v>
      </c>
      <c r="G7428" s="242">
        <v>1</v>
      </c>
      <c r="H7428" s="144">
        <f>VLOOKUP(D7428,Bahan,6,FALSE)</f>
        <v>393600</v>
      </c>
      <c r="I7428" s="126">
        <f>G7428*H7428</f>
        <v>393600</v>
      </c>
    </row>
    <row r="7429" spans="2:10" ht="15.95" customHeight="1" thickBot="1" x14ac:dyDescent="0.3">
      <c r="C7429" s="122"/>
      <c r="D7429" s="117" t="s">
        <v>1535</v>
      </c>
      <c r="E7429" s="118"/>
      <c r="F7429" s="239" t="s">
        <v>1147</v>
      </c>
      <c r="G7429" s="242">
        <v>12</v>
      </c>
      <c r="H7429" s="144">
        <f>I7428/100</f>
        <v>3936</v>
      </c>
      <c r="I7429" s="126">
        <f>G7429*H7429</f>
        <v>47232</v>
      </c>
    </row>
    <row r="7430" spans="2:10" ht="15.95" customHeight="1" thickBot="1" x14ac:dyDescent="0.3">
      <c r="C7430" s="132"/>
      <c r="D7430" s="133"/>
      <c r="E7430" s="134"/>
      <c r="F7430" s="134"/>
      <c r="G7430" s="135" t="s">
        <v>386</v>
      </c>
      <c r="H7430" s="136"/>
      <c r="I7430" s="137">
        <f>SUM(I7428:I7429)</f>
        <v>440832</v>
      </c>
    </row>
    <row r="7431" spans="2:10" ht="15.95" customHeight="1" thickBot="1" x14ac:dyDescent="0.3">
      <c r="C7431" s="116" t="s">
        <v>387</v>
      </c>
      <c r="D7431" s="117" t="s">
        <v>388</v>
      </c>
      <c r="E7431" s="118"/>
      <c r="F7431" s="118"/>
      <c r="G7431" s="165"/>
      <c r="H7431" s="144">
        <f>IF(AND(D7431&lt;&gt;"",F7431&lt;&gt;""),IF(C7431="",IF(F7431="OH",VLOOKUP(D7431,[1]UPAH!$B$3:$G$32,7,0),VLOOKUP(D7431,[1]BAHAN!$A$2:$D$3,4,0)),0),0)</f>
        <v>0</v>
      </c>
      <c r="I7431" s="126">
        <f>G7431*H7431</f>
        <v>0</v>
      </c>
    </row>
    <row r="7432" spans="2:10" ht="15.95" customHeight="1" thickBot="1" x14ac:dyDescent="0.3">
      <c r="C7432" s="132"/>
      <c r="D7432" s="133"/>
      <c r="E7432" s="134"/>
      <c r="F7432" s="134"/>
      <c r="G7432" s="135" t="s">
        <v>389</v>
      </c>
      <c r="H7432" s="136"/>
      <c r="I7432" s="137">
        <f>I7431</f>
        <v>0</v>
      </c>
    </row>
    <row r="7433" spans="2:10" ht="15.95" customHeight="1" x14ac:dyDescent="0.25">
      <c r="C7433" s="158" t="s">
        <v>390</v>
      </c>
      <c r="D7433" s="159" t="s">
        <v>391</v>
      </c>
      <c r="E7433" s="160"/>
      <c r="F7433" s="160"/>
      <c r="G7433" s="161"/>
      <c r="H7433" s="162">
        <f>IF(AND(D7433&lt;&gt;"",F7433&lt;&gt;""),IF(C7433="",IF(F7433="OH",VLOOKUP(D7433,[1]UPAH!$B$3:$G$32,7,0),VLOOKUP(D7433,[1]BAHAN!$A$2:$D$3,4,0)),0),0)</f>
        <v>0</v>
      </c>
      <c r="I7433" s="126">
        <f>SUM(I7422:I7432)/2</f>
        <v>1652082</v>
      </c>
    </row>
    <row r="7434" spans="2:10" ht="15.95" customHeight="1" thickBot="1" x14ac:dyDescent="0.3">
      <c r="C7434" s="195" t="s">
        <v>392</v>
      </c>
      <c r="D7434" s="196" t="s">
        <v>393</v>
      </c>
      <c r="E7434" s="197"/>
      <c r="F7434" s="197"/>
      <c r="G7434" s="233">
        <v>0.1</v>
      </c>
      <c r="H7434" s="199"/>
      <c r="I7434" s="182">
        <f>G7434*I7433</f>
        <v>165208.20000000001</v>
      </c>
    </row>
    <row r="7435" spans="2:10" ht="15.95" customHeight="1" thickBot="1" x14ac:dyDescent="0.3">
      <c r="C7435" s="111" t="s">
        <v>394</v>
      </c>
      <c r="D7435" s="112" t="s">
        <v>395</v>
      </c>
      <c r="E7435" s="134"/>
      <c r="F7435" s="134"/>
      <c r="G7435" s="156"/>
      <c r="H7435" s="136">
        <f>IF(AND(D7435&lt;&gt;"",F7435&lt;&gt;""),IF(C7435="",IF(F7435="OH",VLOOKUP(D7435,[1]UPAH!$B$3:$G$32,7,0),VLOOKUP(D7435,[1]BAHAN!$A$2:$D$3,4,0)),0),0)</f>
        <v>0</v>
      </c>
      <c r="I7435" s="137">
        <f>ROUNDDOWN(I7433+I7434,0)</f>
        <v>1817290</v>
      </c>
    </row>
    <row r="7436" spans="2:10" ht="15.95" customHeight="1" x14ac:dyDescent="0.25">
      <c r="C7436" s="109"/>
      <c r="D7436" s="109"/>
      <c r="G7436" s="157"/>
      <c r="H7436" s="166"/>
      <c r="I7436" s="110"/>
    </row>
    <row r="7437" spans="2:10" ht="15.95" customHeight="1" thickBot="1" x14ac:dyDescent="0.3">
      <c r="B7437" s="247" t="s">
        <v>1558</v>
      </c>
      <c r="C7437" s="104" t="s">
        <v>1559</v>
      </c>
      <c r="G7437" s="157"/>
      <c r="J7437" s="110">
        <f>I7453</f>
        <v>611387</v>
      </c>
    </row>
    <row r="7438" spans="2:10" ht="15.95" customHeight="1" thickBot="1" x14ac:dyDescent="0.3">
      <c r="C7438" s="111" t="s">
        <v>328</v>
      </c>
      <c r="D7438" s="112" t="s">
        <v>359</v>
      </c>
      <c r="E7438" s="113" t="s">
        <v>360</v>
      </c>
      <c r="F7438" s="113" t="s">
        <v>330</v>
      </c>
      <c r="G7438" s="114" t="s">
        <v>361</v>
      </c>
      <c r="H7438" s="112" t="s">
        <v>362</v>
      </c>
      <c r="I7438" s="115" t="s">
        <v>363</v>
      </c>
    </row>
    <row r="7439" spans="2:10" ht="15.95" customHeight="1" x14ac:dyDescent="0.25">
      <c r="C7439" s="158" t="s">
        <v>364</v>
      </c>
      <c r="D7439" s="159" t="s">
        <v>365</v>
      </c>
      <c r="E7439" s="160"/>
      <c r="F7439" s="160"/>
      <c r="G7439" s="161"/>
      <c r="H7439" s="162"/>
      <c r="I7439" s="163"/>
    </row>
    <row r="7440" spans="2:10" ht="15.95" customHeight="1" x14ac:dyDescent="0.25">
      <c r="C7440" s="122"/>
      <c r="D7440" s="117" t="s">
        <v>366</v>
      </c>
      <c r="E7440" s="123" t="s">
        <v>367</v>
      </c>
      <c r="F7440" s="239" t="s">
        <v>368</v>
      </c>
      <c r="G7440" s="242">
        <v>0.3</v>
      </c>
      <c r="H7440" s="243">
        <f>VLOOKUP(D7440,Upah,8,FALSE)</f>
        <v>125000</v>
      </c>
      <c r="I7440" s="126">
        <f>G7440*H7440</f>
        <v>37500</v>
      </c>
    </row>
    <row r="7441" spans="2:10" ht="15.95" customHeight="1" x14ac:dyDescent="0.25">
      <c r="C7441" s="122"/>
      <c r="D7441" s="117" t="s">
        <v>413</v>
      </c>
      <c r="E7441" s="123" t="s">
        <v>414</v>
      </c>
      <c r="F7441" s="239" t="s">
        <v>368</v>
      </c>
      <c r="G7441" s="242">
        <v>0.45</v>
      </c>
      <c r="H7441" s="243">
        <f>VLOOKUP(D7441,Upah,8,FALSE)</f>
        <v>150000</v>
      </c>
      <c r="I7441" s="126">
        <f>G7441*H7441</f>
        <v>67500</v>
      </c>
    </row>
    <row r="7442" spans="2:10" ht="15.95" customHeight="1" x14ac:dyDescent="0.25">
      <c r="C7442" s="122"/>
      <c r="D7442" s="117" t="s">
        <v>429</v>
      </c>
      <c r="E7442" s="123" t="s">
        <v>372</v>
      </c>
      <c r="F7442" s="239" t="s">
        <v>368</v>
      </c>
      <c r="G7442" s="242">
        <v>4.4999999999999998E-2</v>
      </c>
      <c r="H7442" s="243">
        <f>VLOOKUP(D7442,Upah,8,FALSE)</f>
        <v>165000</v>
      </c>
      <c r="I7442" s="126">
        <f>G7442*H7442</f>
        <v>7425</v>
      </c>
    </row>
    <row r="7443" spans="2:10" ht="15.95" customHeight="1" thickBot="1" x14ac:dyDescent="0.3">
      <c r="C7443" s="122"/>
      <c r="D7443" s="117" t="s">
        <v>373</v>
      </c>
      <c r="E7443" s="123" t="s">
        <v>374</v>
      </c>
      <c r="F7443" s="239" t="s">
        <v>368</v>
      </c>
      <c r="G7443" s="242">
        <v>1.4999999999999999E-2</v>
      </c>
      <c r="H7443" s="243">
        <f>VLOOKUP(D7443,Upah,8,FALSE)</f>
        <v>170000</v>
      </c>
      <c r="I7443" s="126">
        <f>G7443*H7443</f>
        <v>2550</v>
      </c>
    </row>
    <row r="7444" spans="2:10" ht="15.95" customHeight="1" thickBot="1" x14ac:dyDescent="0.3">
      <c r="C7444" s="132"/>
      <c r="D7444" s="133"/>
      <c r="E7444" s="134"/>
      <c r="F7444" s="134"/>
      <c r="G7444" s="135" t="s">
        <v>375</v>
      </c>
      <c r="H7444" s="136"/>
      <c r="I7444" s="137">
        <f>SUM(I7440:I7443)</f>
        <v>114975</v>
      </c>
    </row>
    <row r="7445" spans="2:10" ht="15.95" customHeight="1" x14ac:dyDescent="0.25">
      <c r="C7445" s="116" t="s">
        <v>376</v>
      </c>
      <c r="D7445" s="117" t="s">
        <v>377</v>
      </c>
      <c r="E7445" s="118"/>
      <c r="F7445" s="118"/>
      <c r="G7445" s="165"/>
      <c r="H7445" s="144"/>
      <c r="I7445" s="126"/>
    </row>
    <row r="7446" spans="2:10" ht="15.95" customHeight="1" x14ac:dyDescent="0.25">
      <c r="C7446" s="122"/>
      <c r="D7446" s="117" t="s">
        <v>1552</v>
      </c>
      <c r="E7446" s="118"/>
      <c r="F7446" s="239" t="s">
        <v>1534</v>
      </c>
      <c r="G7446" s="242">
        <v>1</v>
      </c>
      <c r="H7446" s="144">
        <f>VLOOKUP(D7446,Bahan,6,FALSE)</f>
        <v>393600</v>
      </c>
      <c r="I7446" s="126">
        <f>G7446*H7446</f>
        <v>393600</v>
      </c>
    </row>
    <row r="7447" spans="2:10" ht="15.95" customHeight="1" thickBot="1" x14ac:dyDescent="0.3">
      <c r="C7447" s="122"/>
      <c r="D7447" s="117" t="s">
        <v>1535</v>
      </c>
      <c r="E7447" s="118"/>
      <c r="F7447" s="239" t="s">
        <v>1147</v>
      </c>
      <c r="G7447" s="242">
        <v>12</v>
      </c>
      <c r="H7447" s="144">
        <f>I7446/100</f>
        <v>3936</v>
      </c>
      <c r="I7447" s="126">
        <f>G7447*H7447</f>
        <v>47232</v>
      </c>
    </row>
    <row r="7448" spans="2:10" ht="15.95" customHeight="1" thickBot="1" x14ac:dyDescent="0.3">
      <c r="C7448" s="132"/>
      <c r="D7448" s="133"/>
      <c r="E7448" s="134"/>
      <c r="F7448" s="134"/>
      <c r="G7448" s="135" t="s">
        <v>386</v>
      </c>
      <c r="H7448" s="136"/>
      <c r="I7448" s="137">
        <f>SUM(I7446:I7447)</f>
        <v>440832</v>
      </c>
    </row>
    <row r="7449" spans="2:10" ht="15.95" customHeight="1" thickBot="1" x14ac:dyDescent="0.3">
      <c r="C7449" s="116" t="s">
        <v>387</v>
      </c>
      <c r="D7449" s="117" t="s">
        <v>388</v>
      </c>
      <c r="E7449" s="118"/>
      <c r="F7449" s="118"/>
      <c r="G7449" s="165"/>
      <c r="H7449" s="144">
        <f>IF(AND(D7449&lt;&gt;"",F7449&lt;&gt;""),IF(C7449="",IF(F7449="OH",VLOOKUP(D7449,[1]UPAH!$B$3:$G$32,7,0),VLOOKUP(D7449,[1]BAHAN!$A$2:$D$3,4,0)),0),0)</f>
        <v>0</v>
      </c>
      <c r="I7449" s="126">
        <f>G7449*H7449</f>
        <v>0</v>
      </c>
    </row>
    <row r="7450" spans="2:10" ht="15.95" customHeight="1" thickBot="1" x14ac:dyDescent="0.3">
      <c r="C7450" s="132"/>
      <c r="D7450" s="133"/>
      <c r="E7450" s="134"/>
      <c r="F7450" s="134"/>
      <c r="G7450" s="135" t="s">
        <v>389</v>
      </c>
      <c r="H7450" s="136"/>
      <c r="I7450" s="137">
        <f>I7449</f>
        <v>0</v>
      </c>
    </row>
    <row r="7451" spans="2:10" ht="15.95" customHeight="1" x14ac:dyDescent="0.25">
      <c r="C7451" s="158" t="s">
        <v>390</v>
      </c>
      <c r="D7451" s="159" t="s">
        <v>391</v>
      </c>
      <c r="E7451" s="160"/>
      <c r="F7451" s="160"/>
      <c r="G7451" s="161"/>
      <c r="H7451" s="162">
        <f>IF(AND(D7451&lt;&gt;"",F7451&lt;&gt;""),IF(C7451="",IF(F7451="OH",VLOOKUP(D7451,[1]UPAH!$B$3:$G$32,7,0),VLOOKUP(D7451,[1]BAHAN!$A$2:$D$3,4,0)),0),0)</f>
        <v>0</v>
      </c>
      <c r="I7451" s="126">
        <f>SUM(I7440:I7450)/2</f>
        <v>555807</v>
      </c>
    </row>
    <row r="7452" spans="2:10" ht="15.95" customHeight="1" thickBot="1" x14ac:dyDescent="0.3">
      <c r="C7452" s="147" t="s">
        <v>392</v>
      </c>
      <c r="D7452" s="148" t="s">
        <v>393</v>
      </c>
      <c r="E7452" s="149"/>
      <c r="F7452" s="149"/>
      <c r="G7452" s="164">
        <v>0.1</v>
      </c>
      <c r="H7452" s="151"/>
      <c r="I7452" s="146">
        <f>G7452*I7451</f>
        <v>55580.700000000004</v>
      </c>
    </row>
    <row r="7453" spans="2:10" ht="15.95" customHeight="1" thickBot="1" x14ac:dyDescent="0.3">
      <c r="C7453" s="111" t="s">
        <v>394</v>
      </c>
      <c r="D7453" s="112" t="s">
        <v>395</v>
      </c>
      <c r="E7453" s="134"/>
      <c r="F7453" s="134"/>
      <c r="G7453" s="156"/>
      <c r="H7453" s="136">
        <f>IF(AND(D7453&lt;&gt;"",F7453&lt;&gt;""),IF(C7453="",IF(F7453="OH",VLOOKUP(D7453,[1]UPAH!$B$3:$G$32,7,0),VLOOKUP(D7453,[1]BAHAN!$A$2:$D$3,4,0)),0),0)</f>
        <v>0</v>
      </c>
      <c r="I7453" s="137">
        <f>ROUNDDOWN(I7451+I7452,0)</f>
        <v>611387</v>
      </c>
    </row>
    <row r="7454" spans="2:10" ht="15.95" customHeight="1" x14ac:dyDescent="0.25">
      <c r="C7454" s="109"/>
      <c r="D7454" s="109"/>
      <c r="G7454" s="157"/>
      <c r="H7454" s="166"/>
      <c r="I7454" s="110"/>
    </row>
    <row r="7455" spans="2:10" ht="15.95" customHeight="1" thickBot="1" x14ac:dyDescent="0.3">
      <c r="B7455" s="109" t="s">
        <v>1560</v>
      </c>
      <c r="C7455" s="104" t="s">
        <v>1561</v>
      </c>
      <c r="G7455" s="157"/>
      <c r="J7455" s="110">
        <f>I7474</f>
        <v>26569961</v>
      </c>
    </row>
    <row r="7456" spans="2:10" ht="15.95" customHeight="1" thickBot="1" x14ac:dyDescent="0.3">
      <c r="C7456" s="111" t="s">
        <v>328</v>
      </c>
      <c r="D7456" s="112" t="s">
        <v>359</v>
      </c>
      <c r="E7456" s="113" t="s">
        <v>360</v>
      </c>
      <c r="F7456" s="113" t="s">
        <v>330</v>
      </c>
      <c r="G7456" s="114" t="s">
        <v>361</v>
      </c>
      <c r="H7456" s="112" t="s">
        <v>362</v>
      </c>
      <c r="I7456" s="115" t="s">
        <v>363</v>
      </c>
    </row>
    <row r="7457" spans="3:9" ht="15.95" customHeight="1" x14ac:dyDescent="0.25">
      <c r="C7457" s="158" t="s">
        <v>364</v>
      </c>
      <c r="D7457" s="159" t="s">
        <v>365</v>
      </c>
      <c r="E7457" s="160"/>
      <c r="F7457" s="160"/>
      <c r="G7457" s="161"/>
      <c r="H7457" s="162"/>
      <c r="I7457" s="163"/>
    </row>
    <row r="7458" spans="3:9" ht="15.95" customHeight="1" x14ac:dyDescent="0.25">
      <c r="C7458" s="122"/>
      <c r="D7458" s="117" t="s">
        <v>366</v>
      </c>
      <c r="E7458" s="123" t="s">
        <v>367</v>
      </c>
      <c r="F7458" s="239" t="s">
        <v>368</v>
      </c>
      <c r="G7458" s="242">
        <v>3.5</v>
      </c>
      <c r="H7458" s="243">
        <f>VLOOKUP(D7458,Upah,8,FALSE)</f>
        <v>125000</v>
      </c>
      <c r="I7458" s="126">
        <f>G7458*H7458</f>
        <v>437500</v>
      </c>
    </row>
    <row r="7459" spans="3:9" ht="15.95" customHeight="1" x14ac:dyDescent="0.25">
      <c r="C7459" s="122"/>
      <c r="D7459" s="117" t="s">
        <v>413</v>
      </c>
      <c r="E7459" s="123" t="s">
        <v>414</v>
      </c>
      <c r="F7459" s="239" t="s">
        <v>368</v>
      </c>
      <c r="G7459" s="242">
        <v>4.5</v>
      </c>
      <c r="H7459" s="243">
        <f>VLOOKUP(D7459,Upah,8,FALSE)</f>
        <v>150000</v>
      </c>
      <c r="I7459" s="126">
        <f>G7459*H7459</f>
        <v>675000</v>
      </c>
    </row>
    <row r="7460" spans="3:9" ht="15.95" customHeight="1" x14ac:dyDescent="0.25">
      <c r="C7460" s="122"/>
      <c r="D7460" s="117" t="s">
        <v>429</v>
      </c>
      <c r="E7460" s="123" t="s">
        <v>372</v>
      </c>
      <c r="F7460" s="239" t="s">
        <v>368</v>
      </c>
      <c r="G7460" s="242">
        <v>0.05</v>
      </c>
      <c r="H7460" s="243">
        <f>VLOOKUP(D7460,Upah,8,FALSE)</f>
        <v>165000</v>
      </c>
      <c r="I7460" s="126">
        <f>G7460*H7460</f>
        <v>8250</v>
      </c>
    </row>
    <row r="7461" spans="3:9" ht="15.95" customHeight="1" thickBot="1" x14ac:dyDescent="0.3">
      <c r="C7461" s="122"/>
      <c r="D7461" s="117" t="s">
        <v>373</v>
      </c>
      <c r="E7461" s="123" t="s">
        <v>374</v>
      </c>
      <c r="F7461" s="239" t="s">
        <v>368</v>
      </c>
      <c r="G7461" s="242">
        <v>1.7999999999999999E-2</v>
      </c>
      <c r="H7461" s="243">
        <f>VLOOKUP(D7461,Upah,8,FALSE)</f>
        <v>170000</v>
      </c>
      <c r="I7461" s="126">
        <f>G7461*H7461</f>
        <v>3059.9999999999995</v>
      </c>
    </row>
    <row r="7462" spans="3:9" ht="15.95" customHeight="1" thickBot="1" x14ac:dyDescent="0.3">
      <c r="C7462" s="132"/>
      <c r="D7462" s="133"/>
      <c r="E7462" s="134"/>
      <c r="F7462" s="134"/>
      <c r="G7462" s="135" t="s">
        <v>375</v>
      </c>
      <c r="H7462" s="136"/>
      <c r="I7462" s="137">
        <f>SUM(I7458:I7461)</f>
        <v>1123810</v>
      </c>
    </row>
    <row r="7463" spans="3:9" ht="15.95" customHeight="1" x14ac:dyDescent="0.25">
      <c r="C7463" s="116" t="s">
        <v>376</v>
      </c>
      <c r="D7463" s="117" t="s">
        <v>377</v>
      </c>
      <c r="E7463" s="118"/>
      <c r="F7463" s="118"/>
      <c r="G7463" s="165"/>
      <c r="H7463" s="144"/>
      <c r="I7463" s="126"/>
    </row>
    <row r="7464" spans="3:9" ht="15.95" customHeight="1" x14ac:dyDescent="0.25">
      <c r="C7464" s="122"/>
      <c r="D7464" s="117" t="s">
        <v>1562</v>
      </c>
      <c r="E7464" s="118"/>
      <c r="F7464" s="239" t="s">
        <v>489</v>
      </c>
      <c r="G7464" s="242">
        <v>0.9</v>
      </c>
      <c r="H7464" s="144">
        <f>VLOOKUP(D7464,Bahan,6,FALSE)</f>
        <v>1464000</v>
      </c>
      <c r="I7464" s="126">
        <f>G7464*H7464</f>
        <v>1317600</v>
      </c>
    </row>
    <row r="7465" spans="3:9" ht="15.95" customHeight="1" x14ac:dyDescent="0.25">
      <c r="C7465" s="122"/>
      <c r="D7465" s="117" t="s">
        <v>1563</v>
      </c>
      <c r="E7465" s="118"/>
      <c r="F7465" s="239" t="s">
        <v>159</v>
      </c>
      <c r="G7465" s="242">
        <v>180</v>
      </c>
      <c r="H7465" s="144">
        <f>VLOOKUP(D7465,Bahan,6,FALSE)</f>
        <v>20830</v>
      </c>
      <c r="I7465" s="126">
        <f>G7465*H7465</f>
        <v>3749400</v>
      </c>
    </row>
    <row r="7466" spans="3:9" ht="15.95" customHeight="1" x14ac:dyDescent="0.25">
      <c r="C7466" s="122"/>
      <c r="D7466" s="117" t="s">
        <v>1564</v>
      </c>
      <c r="E7466" s="118"/>
      <c r="F7466" s="239" t="s">
        <v>816</v>
      </c>
      <c r="G7466" s="242">
        <v>8</v>
      </c>
      <c r="H7466" s="144">
        <f>VLOOKUP(D7466,Bahan,6,FALSE)</f>
        <v>1500000</v>
      </c>
      <c r="I7466" s="126">
        <f>G7466*H7466</f>
        <v>12000000</v>
      </c>
    </row>
    <row r="7467" spans="3:9" ht="15.95" customHeight="1" x14ac:dyDescent="0.25">
      <c r="C7467" s="122"/>
      <c r="D7467" s="117" t="s">
        <v>1565</v>
      </c>
      <c r="E7467" s="118"/>
      <c r="F7467" s="239" t="s">
        <v>418</v>
      </c>
      <c r="G7467" s="242">
        <v>500</v>
      </c>
      <c r="H7467" s="144">
        <f>VLOOKUP(D7467,Bahan,6,FALSE)</f>
        <v>7740</v>
      </c>
      <c r="I7467" s="126">
        <f>G7467*H7467</f>
        <v>3870000</v>
      </c>
    </row>
    <row r="7468" spans="3:9" ht="15.95" customHeight="1" thickBot="1" x14ac:dyDescent="0.3">
      <c r="C7468" s="122"/>
      <c r="D7468" s="117" t="s">
        <v>1535</v>
      </c>
      <c r="E7468" s="118"/>
      <c r="F7468" s="239" t="s">
        <v>1147</v>
      </c>
      <c r="G7468" s="242">
        <v>10</v>
      </c>
      <c r="H7468" s="144">
        <f>SUM(I7464:I7467)/100</f>
        <v>209370</v>
      </c>
      <c r="I7468" s="126">
        <f>G7468*H7468</f>
        <v>2093700</v>
      </c>
    </row>
    <row r="7469" spans="3:9" ht="15.95" customHeight="1" thickBot="1" x14ac:dyDescent="0.3">
      <c r="C7469" s="132"/>
      <c r="D7469" s="133"/>
      <c r="E7469" s="134"/>
      <c r="F7469" s="134"/>
      <c r="G7469" s="135" t="s">
        <v>386</v>
      </c>
      <c r="H7469" s="136"/>
      <c r="I7469" s="137">
        <f>SUM(I7464:I7468)</f>
        <v>23030700</v>
      </c>
    </row>
    <row r="7470" spans="3:9" ht="15.95" customHeight="1" thickBot="1" x14ac:dyDescent="0.3">
      <c r="C7470" s="116" t="s">
        <v>387</v>
      </c>
      <c r="D7470" s="117" t="s">
        <v>388</v>
      </c>
      <c r="E7470" s="118"/>
      <c r="F7470" s="118"/>
      <c r="G7470" s="165"/>
      <c r="H7470" s="144">
        <f>IF(AND(D7470&lt;&gt;"",F7470&lt;&gt;""),IF(C7470="",IF(F7470="OH",VLOOKUP(D7470,[1]UPAH!$B$3:$G$32,7,0),VLOOKUP(D7470,[1]BAHAN!$A$2:$D$3,4,0)),0),0)</f>
        <v>0</v>
      </c>
      <c r="I7470" s="126">
        <f>G7470*H7470</f>
        <v>0</v>
      </c>
    </row>
    <row r="7471" spans="3:9" ht="15.95" customHeight="1" thickBot="1" x14ac:dyDescent="0.3">
      <c r="C7471" s="132"/>
      <c r="D7471" s="133"/>
      <c r="E7471" s="134"/>
      <c r="F7471" s="134"/>
      <c r="G7471" s="135" t="s">
        <v>389</v>
      </c>
      <c r="H7471" s="136"/>
      <c r="I7471" s="137">
        <f>I7470</f>
        <v>0</v>
      </c>
    </row>
    <row r="7472" spans="3:9" ht="15.95" customHeight="1" x14ac:dyDescent="0.25">
      <c r="C7472" s="158" t="s">
        <v>390</v>
      </c>
      <c r="D7472" s="159" t="s">
        <v>391</v>
      </c>
      <c r="E7472" s="160"/>
      <c r="F7472" s="160"/>
      <c r="G7472" s="161"/>
      <c r="H7472" s="162">
        <f>IF(AND(D7472&lt;&gt;"",F7472&lt;&gt;""),IF(C7472="",IF(F7472="OH",VLOOKUP(D7472,[1]UPAH!$B$3:$G$32,7,0),VLOOKUP(D7472,[1]BAHAN!$A$2:$D$3,4,0)),0),0)</f>
        <v>0</v>
      </c>
      <c r="I7472" s="126">
        <f>SUM(I7458:I7471)/2</f>
        <v>24154510</v>
      </c>
    </row>
    <row r="7473" spans="2:10" ht="15.95" customHeight="1" thickBot="1" x14ac:dyDescent="0.3">
      <c r="C7473" s="147" t="s">
        <v>392</v>
      </c>
      <c r="D7473" s="148" t="s">
        <v>393</v>
      </c>
      <c r="E7473" s="149"/>
      <c r="F7473" s="149"/>
      <c r="G7473" s="164">
        <v>0.1</v>
      </c>
      <c r="H7473" s="151"/>
      <c r="I7473" s="146">
        <f>G7473*I7472</f>
        <v>2415451</v>
      </c>
    </row>
    <row r="7474" spans="2:10" ht="15.95" customHeight="1" thickBot="1" x14ac:dyDescent="0.3">
      <c r="C7474" s="111" t="s">
        <v>394</v>
      </c>
      <c r="D7474" s="112" t="s">
        <v>395</v>
      </c>
      <c r="E7474" s="134"/>
      <c r="F7474" s="134"/>
      <c r="G7474" s="156"/>
      <c r="H7474" s="136">
        <f>IF(AND(D7474&lt;&gt;"",F7474&lt;&gt;""),IF(C7474="",IF(F7474="OH",VLOOKUP(D7474,[1]UPAH!$B$3:$G$32,7,0),VLOOKUP(D7474,[1]BAHAN!$A$2:$D$3,4,0)),0),0)</f>
        <v>0</v>
      </c>
      <c r="I7474" s="137">
        <f>ROUNDDOWN(I7472+I7473,0)</f>
        <v>26569961</v>
      </c>
    </row>
    <row r="7475" spans="2:10" ht="15.95" customHeight="1" x14ac:dyDescent="0.25">
      <c r="C7475" s="109"/>
      <c r="D7475" s="109"/>
      <c r="G7475" s="157"/>
      <c r="H7475" s="166"/>
      <c r="I7475" s="110"/>
    </row>
    <row r="7476" spans="2:10" ht="15.95" customHeight="1" thickBot="1" x14ac:dyDescent="0.3">
      <c r="B7476" s="247" t="s">
        <v>1566</v>
      </c>
      <c r="C7476" s="104" t="s">
        <v>1567</v>
      </c>
      <c r="G7476" s="157"/>
      <c r="J7476" s="110">
        <f>I7492</f>
        <v>678315</v>
      </c>
    </row>
    <row r="7477" spans="2:10" ht="15.95" customHeight="1" thickBot="1" x14ac:dyDescent="0.3">
      <c r="C7477" s="111" t="s">
        <v>328</v>
      </c>
      <c r="D7477" s="112" t="s">
        <v>359</v>
      </c>
      <c r="E7477" s="113" t="s">
        <v>360</v>
      </c>
      <c r="F7477" s="113" t="s">
        <v>330</v>
      </c>
      <c r="G7477" s="114" t="s">
        <v>361</v>
      </c>
      <c r="H7477" s="112" t="s">
        <v>362</v>
      </c>
      <c r="I7477" s="115" t="s">
        <v>363</v>
      </c>
    </row>
    <row r="7478" spans="2:10" ht="15.95" customHeight="1" x14ac:dyDescent="0.25">
      <c r="C7478" s="116" t="s">
        <v>364</v>
      </c>
      <c r="D7478" s="117" t="s">
        <v>365</v>
      </c>
      <c r="E7478" s="118"/>
      <c r="F7478" s="118"/>
      <c r="G7478" s="165"/>
      <c r="H7478" s="144"/>
      <c r="I7478" s="126"/>
    </row>
    <row r="7479" spans="2:10" ht="15.95" customHeight="1" x14ac:dyDescent="0.25">
      <c r="C7479" s="122"/>
      <c r="D7479" s="117" t="s">
        <v>366</v>
      </c>
      <c r="E7479" s="123" t="s">
        <v>367</v>
      </c>
      <c r="F7479" s="239" t="s">
        <v>368</v>
      </c>
      <c r="G7479" s="242">
        <v>0.03</v>
      </c>
      <c r="H7479" s="243">
        <f>VLOOKUP(D7479,Upah,8,FALSE)</f>
        <v>125000</v>
      </c>
      <c r="I7479" s="126">
        <f>G7479*H7479</f>
        <v>3750</v>
      </c>
    </row>
    <row r="7480" spans="2:10" ht="15.95" customHeight="1" x14ac:dyDescent="0.25">
      <c r="C7480" s="122"/>
      <c r="D7480" s="117" t="s">
        <v>413</v>
      </c>
      <c r="E7480" s="123" t="s">
        <v>414</v>
      </c>
      <c r="F7480" s="239" t="s">
        <v>368</v>
      </c>
      <c r="G7480" s="242">
        <v>0.3</v>
      </c>
      <c r="H7480" s="243">
        <f>VLOOKUP(D7480,Upah,8,FALSE)</f>
        <v>150000</v>
      </c>
      <c r="I7480" s="126">
        <f>G7480*H7480</f>
        <v>45000</v>
      </c>
    </row>
    <row r="7481" spans="2:10" ht="15.95" customHeight="1" x14ac:dyDescent="0.25">
      <c r="C7481" s="122"/>
      <c r="D7481" s="117" t="s">
        <v>429</v>
      </c>
      <c r="E7481" s="123" t="s">
        <v>372</v>
      </c>
      <c r="F7481" s="239" t="s">
        <v>368</v>
      </c>
      <c r="G7481" s="242">
        <v>0.03</v>
      </c>
      <c r="H7481" s="243">
        <f>VLOOKUP(D7481,Upah,8,FALSE)</f>
        <v>165000</v>
      </c>
      <c r="I7481" s="126">
        <f>G7481*H7481</f>
        <v>4950</v>
      </c>
    </row>
    <row r="7482" spans="2:10" ht="15.95" customHeight="1" thickBot="1" x14ac:dyDescent="0.3">
      <c r="C7482" s="122"/>
      <c r="D7482" s="117" t="s">
        <v>373</v>
      </c>
      <c r="E7482" s="123" t="s">
        <v>374</v>
      </c>
      <c r="F7482" s="239" t="s">
        <v>368</v>
      </c>
      <c r="G7482" s="242">
        <v>1.4999999999999999E-2</v>
      </c>
      <c r="H7482" s="243">
        <f>VLOOKUP(D7482,Upah,8,FALSE)</f>
        <v>170000</v>
      </c>
      <c r="I7482" s="126">
        <f>G7482*H7482</f>
        <v>2550</v>
      </c>
    </row>
    <row r="7483" spans="2:10" ht="15.95" customHeight="1" thickBot="1" x14ac:dyDescent="0.3">
      <c r="C7483" s="132"/>
      <c r="D7483" s="133"/>
      <c r="E7483" s="134"/>
      <c r="F7483" s="134"/>
      <c r="G7483" s="135" t="s">
        <v>375</v>
      </c>
      <c r="H7483" s="136"/>
      <c r="I7483" s="137">
        <f>SUM(I7479:I7482)</f>
        <v>56250</v>
      </c>
    </row>
    <row r="7484" spans="2:10" ht="15.95" customHeight="1" x14ac:dyDescent="0.25">
      <c r="C7484" s="116" t="s">
        <v>376</v>
      </c>
      <c r="D7484" s="117" t="s">
        <v>377</v>
      </c>
      <c r="E7484" s="118"/>
      <c r="F7484" s="118"/>
      <c r="G7484" s="165"/>
      <c r="H7484" s="144"/>
      <c r="I7484" s="126"/>
    </row>
    <row r="7485" spans="2:10" ht="15.95" customHeight="1" x14ac:dyDescent="0.25">
      <c r="C7485" s="122"/>
      <c r="D7485" s="117" t="s">
        <v>1568</v>
      </c>
      <c r="E7485" s="118"/>
      <c r="F7485" s="239" t="s">
        <v>1534</v>
      </c>
      <c r="G7485" s="242">
        <v>1</v>
      </c>
      <c r="H7485" s="144">
        <f>VLOOKUP(D7485,Bahan,6,FALSE)</f>
        <v>473000</v>
      </c>
      <c r="I7485" s="126">
        <f>G7485*H7485</f>
        <v>473000</v>
      </c>
    </row>
    <row r="7486" spans="2:10" ht="15.95" customHeight="1" thickBot="1" x14ac:dyDescent="0.3">
      <c r="C7486" s="122"/>
      <c r="D7486" s="117" t="s">
        <v>1569</v>
      </c>
      <c r="E7486" s="118"/>
      <c r="F7486" s="239" t="s">
        <v>418</v>
      </c>
      <c r="G7486" s="242">
        <v>1</v>
      </c>
      <c r="H7486" s="144">
        <f>VLOOKUP(D7486,Bahan,6,FALSE)</f>
        <v>87400</v>
      </c>
      <c r="I7486" s="126">
        <f>G7486*H7486</f>
        <v>87400</v>
      </c>
    </row>
    <row r="7487" spans="2:10" ht="15.95" customHeight="1" thickBot="1" x14ac:dyDescent="0.3">
      <c r="C7487" s="132"/>
      <c r="D7487" s="133"/>
      <c r="E7487" s="134"/>
      <c r="F7487" s="134"/>
      <c r="G7487" s="135" t="s">
        <v>386</v>
      </c>
      <c r="H7487" s="136"/>
      <c r="I7487" s="137">
        <f>SUM(I7485:I7486)</f>
        <v>560400</v>
      </c>
    </row>
    <row r="7488" spans="2:10" ht="15.95" customHeight="1" thickBot="1" x14ac:dyDescent="0.3">
      <c r="C7488" s="116" t="s">
        <v>387</v>
      </c>
      <c r="D7488" s="117" t="s">
        <v>388</v>
      </c>
      <c r="E7488" s="118"/>
      <c r="F7488" s="118"/>
      <c r="G7488" s="165"/>
      <c r="H7488" s="144">
        <f>IF(AND(D7488&lt;&gt;"",F7488&lt;&gt;""),IF(C7488="",IF(F7488="OH",VLOOKUP(D7488,[1]UPAH!$B$3:$G$32,7,0),VLOOKUP(D7488,[1]BAHAN!$A$2:$D$3,4,0)),0),0)</f>
        <v>0</v>
      </c>
      <c r="I7488" s="126">
        <f>G7488*H7488</f>
        <v>0</v>
      </c>
    </row>
    <row r="7489" spans="2:10" ht="15.95" customHeight="1" thickBot="1" x14ac:dyDescent="0.3">
      <c r="C7489" s="132"/>
      <c r="D7489" s="133"/>
      <c r="E7489" s="134"/>
      <c r="F7489" s="134"/>
      <c r="G7489" s="135" t="s">
        <v>389</v>
      </c>
      <c r="H7489" s="136"/>
      <c r="I7489" s="137">
        <f>I7488</f>
        <v>0</v>
      </c>
    </row>
    <row r="7490" spans="2:10" ht="15.95" customHeight="1" x14ac:dyDescent="0.25">
      <c r="C7490" s="158" t="s">
        <v>390</v>
      </c>
      <c r="D7490" s="159" t="s">
        <v>391</v>
      </c>
      <c r="E7490" s="160"/>
      <c r="F7490" s="160"/>
      <c r="G7490" s="161"/>
      <c r="H7490" s="162">
        <f>IF(AND(D7490&lt;&gt;"",F7490&lt;&gt;""),IF(C7490="",IF(F7490="OH",VLOOKUP(D7490,[1]UPAH!$B$3:$G$32,7,0),VLOOKUP(D7490,[1]BAHAN!$A$2:$D$3,4,0)),0),0)</f>
        <v>0</v>
      </c>
      <c r="I7490" s="126">
        <f>SUM(I7479:I7489)/2</f>
        <v>616650</v>
      </c>
    </row>
    <row r="7491" spans="2:10" ht="15.95" customHeight="1" thickBot="1" x14ac:dyDescent="0.3">
      <c r="C7491" s="147" t="s">
        <v>392</v>
      </c>
      <c r="D7491" s="148" t="s">
        <v>393</v>
      </c>
      <c r="E7491" s="149"/>
      <c r="F7491" s="149"/>
      <c r="G7491" s="164">
        <v>0.1</v>
      </c>
      <c r="H7491" s="151"/>
      <c r="I7491" s="146">
        <f>G7491*I7490</f>
        <v>61665</v>
      </c>
    </row>
    <row r="7492" spans="2:10" ht="15.95" customHeight="1" thickBot="1" x14ac:dyDescent="0.3">
      <c r="C7492" s="111" t="s">
        <v>394</v>
      </c>
      <c r="D7492" s="112" t="s">
        <v>395</v>
      </c>
      <c r="E7492" s="134"/>
      <c r="F7492" s="134"/>
      <c r="G7492" s="156"/>
      <c r="H7492" s="136">
        <f>IF(AND(D7492&lt;&gt;"",F7492&lt;&gt;""),IF(C7492="",IF(F7492="OH",VLOOKUP(D7492,[1]UPAH!$B$3:$G$32,7,0),VLOOKUP(D7492,[1]BAHAN!$A$2:$D$3,4,0)),0),0)</f>
        <v>0</v>
      </c>
      <c r="I7492" s="137">
        <f>ROUNDDOWN(I7490+I7491,0)</f>
        <v>678315</v>
      </c>
    </row>
    <row r="7493" spans="2:10" ht="15.95" customHeight="1" x14ac:dyDescent="0.25">
      <c r="C7493" s="109"/>
      <c r="D7493" s="109"/>
      <c r="G7493" s="157"/>
      <c r="H7493" s="166"/>
      <c r="I7493" s="110"/>
    </row>
    <row r="7494" spans="2:10" ht="15.95" customHeight="1" thickBot="1" x14ac:dyDescent="0.3">
      <c r="B7494" s="109" t="s">
        <v>1570</v>
      </c>
      <c r="C7494" s="104" t="s">
        <v>1571</v>
      </c>
      <c r="G7494" s="157"/>
      <c r="J7494" s="110">
        <f>I7512</f>
        <v>774868</v>
      </c>
    </row>
    <row r="7495" spans="2:10" ht="15.95" customHeight="1" thickBot="1" x14ac:dyDescent="0.3">
      <c r="C7495" s="111" t="s">
        <v>328</v>
      </c>
      <c r="D7495" s="112" t="s">
        <v>359</v>
      </c>
      <c r="E7495" s="113" t="s">
        <v>360</v>
      </c>
      <c r="F7495" s="113" t="s">
        <v>330</v>
      </c>
      <c r="G7495" s="114" t="s">
        <v>361</v>
      </c>
      <c r="H7495" s="112" t="s">
        <v>362</v>
      </c>
      <c r="I7495" s="115" t="s">
        <v>363</v>
      </c>
    </row>
    <row r="7496" spans="2:10" ht="15.95" customHeight="1" x14ac:dyDescent="0.25">
      <c r="C7496" s="116" t="s">
        <v>364</v>
      </c>
      <c r="D7496" s="117" t="s">
        <v>365</v>
      </c>
      <c r="E7496" s="118"/>
      <c r="F7496" s="118"/>
      <c r="G7496" s="165"/>
      <c r="H7496" s="144"/>
      <c r="I7496" s="126"/>
    </row>
    <row r="7497" spans="2:10" ht="15.95" customHeight="1" x14ac:dyDescent="0.25">
      <c r="C7497" s="122"/>
      <c r="D7497" s="117" t="s">
        <v>366</v>
      </c>
      <c r="E7497" s="123" t="s">
        <v>367</v>
      </c>
      <c r="F7497" s="239" t="s">
        <v>368</v>
      </c>
      <c r="G7497" s="242">
        <v>0.05</v>
      </c>
      <c r="H7497" s="243">
        <f>VLOOKUP(D7497,Upah,8,FALSE)</f>
        <v>125000</v>
      </c>
      <c r="I7497" s="126">
        <f>G7497*H7497</f>
        <v>6250</v>
      </c>
    </row>
    <row r="7498" spans="2:10" ht="15.95" customHeight="1" x14ac:dyDescent="0.25">
      <c r="C7498" s="122"/>
      <c r="D7498" s="117" t="s">
        <v>413</v>
      </c>
      <c r="E7498" s="123" t="s">
        <v>414</v>
      </c>
      <c r="F7498" s="239" t="s">
        <v>368</v>
      </c>
      <c r="G7498" s="242">
        <v>0.5</v>
      </c>
      <c r="H7498" s="243">
        <f>VLOOKUP(D7498,Upah,8,FALSE)</f>
        <v>150000</v>
      </c>
      <c r="I7498" s="126">
        <f>G7498*H7498</f>
        <v>75000</v>
      </c>
    </row>
    <row r="7499" spans="2:10" ht="15.95" customHeight="1" x14ac:dyDescent="0.25">
      <c r="C7499" s="122"/>
      <c r="D7499" s="117" t="s">
        <v>429</v>
      </c>
      <c r="E7499" s="123" t="s">
        <v>372</v>
      </c>
      <c r="F7499" s="239" t="s">
        <v>368</v>
      </c>
      <c r="G7499" s="242">
        <v>0.05</v>
      </c>
      <c r="H7499" s="243">
        <f>VLOOKUP(D7499,Upah,8,FALSE)</f>
        <v>165000</v>
      </c>
      <c r="I7499" s="126">
        <f>G7499*H7499</f>
        <v>8250</v>
      </c>
    </row>
    <row r="7500" spans="2:10" ht="15.95" customHeight="1" thickBot="1" x14ac:dyDescent="0.3">
      <c r="C7500" s="122"/>
      <c r="D7500" s="117" t="s">
        <v>373</v>
      </c>
      <c r="E7500" s="123" t="s">
        <v>374</v>
      </c>
      <c r="F7500" s="239" t="s">
        <v>368</v>
      </c>
      <c r="G7500" s="242">
        <v>2.5000000000000001E-2</v>
      </c>
      <c r="H7500" s="243">
        <f>VLOOKUP(D7500,Upah,8,FALSE)</f>
        <v>170000</v>
      </c>
      <c r="I7500" s="126">
        <f>G7500*H7500</f>
        <v>4250</v>
      </c>
    </row>
    <row r="7501" spans="2:10" ht="15.95" customHeight="1" thickBot="1" x14ac:dyDescent="0.3">
      <c r="C7501" s="132"/>
      <c r="D7501" s="133"/>
      <c r="E7501" s="134"/>
      <c r="F7501" s="134"/>
      <c r="G7501" s="135" t="s">
        <v>375</v>
      </c>
      <c r="H7501" s="136"/>
      <c r="I7501" s="137">
        <f>SUM(I7497:I7500)</f>
        <v>93750</v>
      </c>
    </row>
    <row r="7502" spans="2:10" ht="15.95" customHeight="1" x14ac:dyDescent="0.25">
      <c r="C7502" s="116" t="s">
        <v>376</v>
      </c>
      <c r="D7502" s="117" t="s">
        <v>377</v>
      </c>
      <c r="E7502" s="118"/>
      <c r="F7502" s="118"/>
      <c r="G7502" s="165"/>
      <c r="H7502" s="144"/>
      <c r="I7502" s="126"/>
    </row>
    <row r="7503" spans="2:10" ht="15.95" customHeight="1" x14ac:dyDescent="0.25">
      <c r="C7503" s="122"/>
      <c r="D7503" s="117" t="s">
        <v>1568</v>
      </c>
      <c r="E7503" s="118"/>
      <c r="F7503" s="239" t="s">
        <v>1534</v>
      </c>
      <c r="G7503" s="242">
        <v>1</v>
      </c>
      <c r="H7503" s="144">
        <f>VLOOKUP(D7503,Bahan,6,FALSE)</f>
        <v>473000</v>
      </c>
      <c r="I7503" s="126">
        <f>G7503*H7503</f>
        <v>473000</v>
      </c>
    </row>
    <row r="7504" spans="2:10" ht="15.95" customHeight="1" x14ac:dyDescent="0.25">
      <c r="C7504" s="122"/>
      <c r="D7504" s="117" t="s">
        <v>1569</v>
      </c>
      <c r="E7504" s="118"/>
      <c r="F7504" s="239" t="s">
        <v>418</v>
      </c>
      <c r="G7504" s="242">
        <v>1</v>
      </c>
      <c r="H7504" s="144">
        <f>VLOOKUP(D7504,Bahan,6,FALSE)</f>
        <v>87400</v>
      </c>
      <c r="I7504" s="126">
        <f>G7504*H7504</f>
        <v>87400</v>
      </c>
    </row>
    <row r="7505" spans="2:10" ht="15.95" customHeight="1" x14ac:dyDescent="0.25">
      <c r="C7505" s="122"/>
      <c r="D7505" s="117" t="s">
        <v>380</v>
      </c>
      <c r="E7505" s="118"/>
      <c r="F7505" s="239" t="s">
        <v>159</v>
      </c>
      <c r="G7505" s="242">
        <v>20</v>
      </c>
      <c r="H7505" s="144">
        <f>VLOOKUP(D7505,Bahan,6,FALSE)</f>
        <v>1880</v>
      </c>
      <c r="I7505" s="126">
        <f>G7505*H7505</f>
        <v>37600</v>
      </c>
    </row>
    <row r="7506" spans="2:10" ht="15.95" customHeight="1" thickBot="1" x14ac:dyDescent="0.3">
      <c r="C7506" s="122"/>
      <c r="D7506" s="117" t="s">
        <v>416</v>
      </c>
      <c r="E7506" s="118"/>
      <c r="F7506" s="239" t="s">
        <v>489</v>
      </c>
      <c r="G7506" s="242">
        <v>0.05</v>
      </c>
      <c r="H7506" s="144">
        <f>VLOOKUP(D7506,Bahan,6,FALSE)</f>
        <v>253510</v>
      </c>
      <c r="I7506" s="126">
        <f>G7506*H7506</f>
        <v>12675.5</v>
      </c>
    </row>
    <row r="7507" spans="2:10" ht="15.95" customHeight="1" thickBot="1" x14ac:dyDescent="0.3">
      <c r="C7507" s="132"/>
      <c r="D7507" s="133"/>
      <c r="E7507" s="134"/>
      <c r="F7507" s="134"/>
      <c r="G7507" s="135" t="s">
        <v>386</v>
      </c>
      <c r="H7507" s="136"/>
      <c r="I7507" s="137">
        <f>SUM(I7503:I7506)</f>
        <v>610675.5</v>
      </c>
    </row>
    <row r="7508" spans="2:10" ht="15.95" customHeight="1" thickBot="1" x14ac:dyDescent="0.3">
      <c r="C7508" s="116" t="s">
        <v>387</v>
      </c>
      <c r="D7508" s="117" t="s">
        <v>388</v>
      </c>
      <c r="E7508" s="118"/>
      <c r="F7508" s="118"/>
      <c r="G7508" s="165"/>
      <c r="H7508" s="144">
        <f>IF(AND(D7508&lt;&gt;"",F7508&lt;&gt;""),IF(C7508="",IF(F7508="OH",VLOOKUP(D7508,[1]UPAH!$B$3:$G$32,7,0),VLOOKUP(D7508,[1]BAHAN!$A$2:$D$3,4,0)),0),0)</f>
        <v>0</v>
      </c>
      <c r="I7508" s="126">
        <f>G7508*H7508</f>
        <v>0</v>
      </c>
    </row>
    <row r="7509" spans="2:10" ht="15.95" customHeight="1" thickBot="1" x14ac:dyDescent="0.3">
      <c r="C7509" s="132"/>
      <c r="D7509" s="133"/>
      <c r="E7509" s="134"/>
      <c r="F7509" s="134"/>
      <c r="G7509" s="135" t="s">
        <v>389</v>
      </c>
      <c r="H7509" s="136"/>
      <c r="I7509" s="137">
        <f>I7508</f>
        <v>0</v>
      </c>
    </row>
    <row r="7510" spans="2:10" ht="15.95" customHeight="1" x14ac:dyDescent="0.25">
      <c r="C7510" s="158" t="s">
        <v>390</v>
      </c>
      <c r="D7510" s="159" t="s">
        <v>391</v>
      </c>
      <c r="E7510" s="160"/>
      <c r="F7510" s="160"/>
      <c r="G7510" s="161"/>
      <c r="H7510" s="162">
        <f>IF(AND(D7510&lt;&gt;"",F7510&lt;&gt;""),IF(C7510="",IF(F7510="OH",VLOOKUP(D7510,[1]UPAH!$B$3:$G$32,7,0),VLOOKUP(D7510,[1]BAHAN!$A$2:$D$3,4,0)),0),0)</f>
        <v>0</v>
      </c>
      <c r="I7510" s="126">
        <f>SUM(I7497:I7509)/2</f>
        <v>704425.5</v>
      </c>
    </row>
    <row r="7511" spans="2:10" ht="15.95" customHeight="1" thickBot="1" x14ac:dyDescent="0.3">
      <c r="C7511" s="147" t="s">
        <v>392</v>
      </c>
      <c r="D7511" s="148" t="s">
        <v>393</v>
      </c>
      <c r="E7511" s="149"/>
      <c r="F7511" s="149"/>
      <c r="G7511" s="164">
        <v>0.1</v>
      </c>
      <c r="H7511" s="151"/>
      <c r="I7511" s="146">
        <f>G7511*I7510</f>
        <v>70442.55</v>
      </c>
    </row>
    <row r="7512" spans="2:10" ht="15.95" customHeight="1" thickBot="1" x14ac:dyDescent="0.3">
      <c r="C7512" s="111" t="s">
        <v>394</v>
      </c>
      <c r="D7512" s="112" t="s">
        <v>395</v>
      </c>
      <c r="E7512" s="134"/>
      <c r="F7512" s="134"/>
      <c r="G7512" s="156"/>
      <c r="H7512" s="136">
        <f>IF(AND(D7512&lt;&gt;"",F7512&lt;&gt;""),IF(C7512="",IF(F7512="OH",VLOOKUP(D7512,[1]UPAH!$B$3:$G$32,7,0),VLOOKUP(D7512,[1]BAHAN!$A$2:$D$3,4,0)),0),0)</f>
        <v>0</v>
      </c>
      <c r="I7512" s="137">
        <f>ROUNDDOWN(I7510+I7511,0)</f>
        <v>774868</v>
      </c>
    </row>
    <row r="7513" spans="2:10" ht="15.95" customHeight="1" x14ac:dyDescent="0.25">
      <c r="C7513" s="109"/>
      <c r="D7513" s="109"/>
      <c r="G7513" s="157"/>
      <c r="H7513" s="166"/>
      <c r="I7513" s="110"/>
    </row>
    <row r="7514" spans="2:10" ht="15.95" customHeight="1" thickBot="1" x14ac:dyDescent="0.3">
      <c r="B7514" s="247" t="s">
        <v>1572</v>
      </c>
      <c r="C7514" s="104" t="s">
        <v>1573</v>
      </c>
      <c r="G7514" s="157"/>
      <c r="J7514" s="110">
        <f>I7529</f>
        <v>328625</v>
      </c>
    </row>
    <row r="7515" spans="2:10" ht="15.95" customHeight="1" thickBot="1" x14ac:dyDescent="0.3">
      <c r="C7515" s="111" t="s">
        <v>328</v>
      </c>
      <c r="D7515" s="112" t="s">
        <v>359</v>
      </c>
      <c r="E7515" s="113" t="s">
        <v>360</v>
      </c>
      <c r="F7515" s="113" t="s">
        <v>330</v>
      </c>
      <c r="G7515" s="114" t="s">
        <v>361</v>
      </c>
      <c r="H7515" s="112" t="s">
        <v>362</v>
      </c>
      <c r="I7515" s="115" t="s">
        <v>363</v>
      </c>
    </row>
    <row r="7516" spans="2:10" ht="15.95" customHeight="1" x14ac:dyDescent="0.25">
      <c r="C7516" s="158" t="s">
        <v>364</v>
      </c>
      <c r="D7516" s="159" t="s">
        <v>365</v>
      </c>
      <c r="E7516" s="160"/>
      <c r="F7516" s="160"/>
      <c r="G7516" s="161"/>
      <c r="H7516" s="162"/>
      <c r="I7516" s="163"/>
    </row>
    <row r="7517" spans="2:10" ht="15.95" customHeight="1" x14ac:dyDescent="0.25">
      <c r="C7517" s="122"/>
      <c r="D7517" s="117" t="s">
        <v>366</v>
      </c>
      <c r="E7517" s="123" t="s">
        <v>367</v>
      </c>
      <c r="F7517" s="239" t="s">
        <v>368</v>
      </c>
      <c r="G7517" s="242">
        <v>0.01</v>
      </c>
      <c r="H7517" s="243">
        <f>VLOOKUP(D7517,Upah,8,FALSE)</f>
        <v>125000</v>
      </c>
      <c r="I7517" s="126">
        <f>G7517*H7517</f>
        <v>1250</v>
      </c>
    </row>
    <row r="7518" spans="2:10" ht="15.95" customHeight="1" x14ac:dyDescent="0.25">
      <c r="C7518" s="122"/>
      <c r="D7518" s="117" t="s">
        <v>413</v>
      </c>
      <c r="E7518" s="123" t="s">
        <v>414</v>
      </c>
      <c r="F7518" s="239" t="s">
        <v>368</v>
      </c>
      <c r="G7518" s="242">
        <v>0.1</v>
      </c>
      <c r="H7518" s="243">
        <f>VLOOKUP(D7518,Upah,8,FALSE)</f>
        <v>150000</v>
      </c>
      <c r="I7518" s="126">
        <f>G7518*H7518</f>
        <v>15000</v>
      </c>
    </row>
    <row r="7519" spans="2:10" ht="15.95" customHeight="1" x14ac:dyDescent="0.25">
      <c r="C7519" s="122"/>
      <c r="D7519" s="117" t="s">
        <v>429</v>
      </c>
      <c r="E7519" s="123" t="s">
        <v>372</v>
      </c>
      <c r="F7519" s="239" t="s">
        <v>368</v>
      </c>
      <c r="G7519" s="242">
        <v>0.01</v>
      </c>
      <c r="H7519" s="243">
        <f>VLOOKUP(D7519,Upah,8,FALSE)</f>
        <v>165000</v>
      </c>
      <c r="I7519" s="126">
        <f>G7519*H7519</f>
        <v>1650</v>
      </c>
    </row>
    <row r="7520" spans="2:10" ht="15.95" customHeight="1" thickBot="1" x14ac:dyDescent="0.3">
      <c r="C7520" s="122"/>
      <c r="D7520" s="117" t="s">
        <v>373</v>
      </c>
      <c r="E7520" s="123" t="s">
        <v>374</v>
      </c>
      <c r="F7520" s="239" t="s">
        <v>368</v>
      </c>
      <c r="G7520" s="242">
        <v>5.0000000000000001E-3</v>
      </c>
      <c r="H7520" s="243">
        <f>VLOOKUP(D7520,Upah,8,FALSE)</f>
        <v>170000</v>
      </c>
      <c r="I7520" s="126">
        <f>G7520*H7520</f>
        <v>850</v>
      </c>
    </row>
    <row r="7521" spans="2:10" ht="15.95" customHeight="1" thickBot="1" x14ac:dyDescent="0.3">
      <c r="C7521" s="132"/>
      <c r="D7521" s="133"/>
      <c r="E7521" s="134"/>
      <c r="F7521" s="134"/>
      <c r="G7521" s="135" t="s">
        <v>375</v>
      </c>
      <c r="H7521" s="136"/>
      <c r="I7521" s="137">
        <f>SUM(I7517:I7520)</f>
        <v>18750</v>
      </c>
    </row>
    <row r="7522" spans="2:10" ht="15.95" customHeight="1" x14ac:dyDescent="0.25">
      <c r="C7522" s="116" t="s">
        <v>376</v>
      </c>
      <c r="D7522" s="117" t="s">
        <v>377</v>
      </c>
      <c r="E7522" s="118"/>
      <c r="F7522" s="118"/>
      <c r="G7522" s="165"/>
      <c r="H7522" s="144"/>
      <c r="I7522" s="126"/>
    </row>
    <row r="7523" spans="2:10" ht="15.95" customHeight="1" thickBot="1" x14ac:dyDescent="0.3">
      <c r="C7523" s="122"/>
      <c r="D7523" s="117" t="s">
        <v>1574</v>
      </c>
      <c r="E7523" s="118"/>
      <c r="F7523" s="239" t="s">
        <v>1534</v>
      </c>
      <c r="G7523" s="242">
        <v>1</v>
      </c>
      <c r="H7523" s="144">
        <f>VLOOKUP(D7523,Bahan,6,FALSE)</f>
        <v>280000</v>
      </c>
      <c r="I7523" s="126">
        <f>G7523*H7523</f>
        <v>280000</v>
      </c>
    </row>
    <row r="7524" spans="2:10" ht="15.95" customHeight="1" thickBot="1" x14ac:dyDescent="0.3">
      <c r="C7524" s="132"/>
      <c r="D7524" s="133"/>
      <c r="E7524" s="134"/>
      <c r="F7524" s="134"/>
      <c r="G7524" s="135" t="s">
        <v>386</v>
      </c>
      <c r="H7524" s="136"/>
      <c r="I7524" s="137">
        <f>SUM(I7523)</f>
        <v>280000</v>
      </c>
    </row>
    <row r="7525" spans="2:10" ht="15.95" customHeight="1" thickBot="1" x14ac:dyDescent="0.3">
      <c r="C7525" s="116" t="s">
        <v>387</v>
      </c>
      <c r="D7525" s="117" t="s">
        <v>388</v>
      </c>
      <c r="E7525" s="118"/>
      <c r="F7525" s="118"/>
      <c r="G7525" s="165"/>
      <c r="H7525" s="144">
        <f>IF(AND(D7525&lt;&gt;"",F7525&lt;&gt;""),IF(C7525="",IF(F7525="OH",VLOOKUP(D7525,[1]UPAH!$B$3:$G$32,7,0),VLOOKUP(D7525,[1]BAHAN!$A$2:$D$3,4,0)),0),0)</f>
        <v>0</v>
      </c>
      <c r="I7525" s="126">
        <f>G7525*H7525</f>
        <v>0</v>
      </c>
    </row>
    <row r="7526" spans="2:10" ht="15.95" customHeight="1" thickBot="1" x14ac:dyDescent="0.3">
      <c r="C7526" s="132"/>
      <c r="D7526" s="133"/>
      <c r="E7526" s="134"/>
      <c r="F7526" s="134"/>
      <c r="G7526" s="135" t="s">
        <v>389</v>
      </c>
      <c r="H7526" s="136"/>
      <c r="I7526" s="137">
        <f>I7525</f>
        <v>0</v>
      </c>
    </row>
    <row r="7527" spans="2:10" ht="15.95" customHeight="1" x14ac:dyDescent="0.25">
      <c r="C7527" s="158" t="s">
        <v>390</v>
      </c>
      <c r="D7527" s="159" t="s">
        <v>391</v>
      </c>
      <c r="E7527" s="160"/>
      <c r="F7527" s="160"/>
      <c r="G7527" s="161"/>
      <c r="H7527" s="162">
        <f>IF(AND(D7527&lt;&gt;"",F7527&lt;&gt;""),IF(C7527="",IF(F7527="OH",VLOOKUP(D7527,[1]UPAH!$B$3:$G$32,7,0),VLOOKUP(D7527,[1]BAHAN!$A$2:$D$3,4,0)),0),0)</f>
        <v>0</v>
      </c>
      <c r="I7527" s="126">
        <f>SUM(I7516:I7526)/2</f>
        <v>298750</v>
      </c>
    </row>
    <row r="7528" spans="2:10" ht="15.95" customHeight="1" thickBot="1" x14ac:dyDescent="0.3">
      <c r="C7528" s="147" t="s">
        <v>392</v>
      </c>
      <c r="D7528" s="148" t="s">
        <v>393</v>
      </c>
      <c r="E7528" s="149"/>
      <c r="F7528" s="149"/>
      <c r="G7528" s="164">
        <v>0.1</v>
      </c>
      <c r="H7528" s="151"/>
      <c r="I7528" s="146">
        <f>G7528*I7527</f>
        <v>29875</v>
      </c>
    </row>
    <row r="7529" spans="2:10" ht="15.95" customHeight="1" thickBot="1" x14ac:dyDescent="0.3">
      <c r="C7529" s="111" t="s">
        <v>394</v>
      </c>
      <c r="D7529" s="112" t="s">
        <v>395</v>
      </c>
      <c r="E7529" s="134"/>
      <c r="F7529" s="134"/>
      <c r="G7529" s="156"/>
      <c r="H7529" s="136">
        <f>IF(AND(D7529&lt;&gt;"",F7529&lt;&gt;""),IF(C7529="",IF(F7529="OH",VLOOKUP(D7529,[1]UPAH!$B$3:$G$32,7,0),VLOOKUP(D7529,[1]BAHAN!$A$2:$D$3,4,0)),0),0)</f>
        <v>0</v>
      </c>
      <c r="I7529" s="137">
        <f>ROUNDDOWN(I7527+I7528,0)</f>
        <v>328625</v>
      </c>
    </row>
    <row r="7530" spans="2:10" ht="15.95" customHeight="1" x14ac:dyDescent="0.25">
      <c r="C7530" s="109"/>
      <c r="D7530" s="109"/>
      <c r="G7530" s="157"/>
      <c r="H7530" s="166"/>
      <c r="I7530" s="110"/>
    </row>
    <row r="7531" spans="2:10" ht="15.95" customHeight="1" thickBot="1" x14ac:dyDescent="0.3">
      <c r="B7531" s="109" t="s">
        <v>1575</v>
      </c>
      <c r="C7531" s="104" t="s">
        <v>1576</v>
      </c>
      <c r="G7531" s="157"/>
      <c r="J7531" s="110">
        <f>I7551</f>
        <v>693158</v>
      </c>
    </row>
    <row r="7532" spans="2:10" ht="15.95" customHeight="1" thickBot="1" x14ac:dyDescent="0.3">
      <c r="C7532" s="111" t="s">
        <v>328</v>
      </c>
      <c r="D7532" s="112" t="s">
        <v>359</v>
      </c>
      <c r="E7532" s="113" t="s">
        <v>360</v>
      </c>
      <c r="F7532" s="113" t="s">
        <v>330</v>
      </c>
      <c r="G7532" s="114" t="s">
        <v>361</v>
      </c>
      <c r="H7532" s="112" t="s">
        <v>362</v>
      </c>
      <c r="I7532" s="115" t="s">
        <v>363</v>
      </c>
    </row>
    <row r="7533" spans="2:10" ht="15.95" customHeight="1" x14ac:dyDescent="0.25">
      <c r="C7533" s="158" t="s">
        <v>364</v>
      </c>
      <c r="D7533" s="159" t="s">
        <v>365</v>
      </c>
      <c r="E7533" s="160"/>
      <c r="F7533" s="160"/>
      <c r="G7533" s="161"/>
      <c r="H7533" s="162"/>
      <c r="I7533" s="163"/>
    </row>
    <row r="7534" spans="2:10" ht="15.95" customHeight="1" x14ac:dyDescent="0.25">
      <c r="C7534" s="122"/>
      <c r="D7534" s="117" t="s">
        <v>366</v>
      </c>
      <c r="E7534" s="123" t="s">
        <v>367</v>
      </c>
      <c r="F7534" s="239" t="s">
        <v>368</v>
      </c>
      <c r="G7534" s="242">
        <v>2.16</v>
      </c>
      <c r="H7534" s="243">
        <f>VLOOKUP(D7534,Upah,8,FALSE)</f>
        <v>125000</v>
      </c>
      <c r="I7534" s="126">
        <f>G7534*H7534</f>
        <v>270000</v>
      </c>
    </row>
    <row r="7535" spans="2:10" ht="15.95" customHeight="1" x14ac:dyDescent="0.25">
      <c r="C7535" s="122"/>
      <c r="D7535" s="117" t="s">
        <v>413</v>
      </c>
      <c r="E7535" s="123" t="s">
        <v>414</v>
      </c>
      <c r="F7535" s="239" t="s">
        <v>368</v>
      </c>
      <c r="G7535" s="242">
        <v>0.72</v>
      </c>
      <c r="H7535" s="243">
        <f>VLOOKUP(D7535,Upah,8,FALSE)</f>
        <v>150000</v>
      </c>
      <c r="I7535" s="126">
        <f>G7535*H7535</f>
        <v>108000</v>
      </c>
    </row>
    <row r="7536" spans="2:10" ht="15.95" customHeight="1" x14ac:dyDescent="0.25">
      <c r="C7536" s="122"/>
      <c r="D7536" s="117" t="s">
        <v>429</v>
      </c>
      <c r="E7536" s="123" t="s">
        <v>372</v>
      </c>
      <c r="F7536" s="239" t="s">
        <v>368</v>
      </c>
      <c r="G7536" s="242">
        <v>7.1999999999999995E-2</v>
      </c>
      <c r="H7536" s="243">
        <f>VLOOKUP(D7536,Upah,8,FALSE)</f>
        <v>165000</v>
      </c>
      <c r="I7536" s="126">
        <f>G7536*H7536</f>
        <v>11880</v>
      </c>
    </row>
    <row r="7537" spans="3:9" ht="15.95" customHeight="1" thickBot="1" x14ac:dyDescent="0.3">
      <c r="C7537" s="122"/>
      <c r="D7537" s="117" t="s">
        <v>373</v>
      </c>
      <c r="E7537" s="123" t="s">
        <v>374</v>
      </c>
      <c r="F7537" s="239" t="s">
        <v>368</v>
      </c>
      <c r="G7537" s="242">
        <v>1.0999999999999999E-2</v>
      </c>
      <c r="H7537" s="243">
        <f>VLOOKUP(D7537,Upah,8,FALSE)</f>
        <v>170000</v>
      </c>
      <c r="I7537" s="126">
        <f>G7537*H7537</f>
        <v>1870</v>
      </c>
    </row>
    <row r="7538" spans="3:9" ht="15.95" customHeight="1" thickBot="1" x14ac:dyDescent="0.3">
      <c r="C7538" s="132"/>
      <c r="D7538" s="133"/>
      <c r="E7538" s="134"/>
      <c r="F7538" s="134"/>
      <c r="G7538" s="135" t="s">
        <v>375</v>
      </c>
      <c r="H7538" s="136"/>
      <c r="I7538" s="137">
        <f>SUM(I7534:I7537)</f>
        <v>391750</v>
      </c>
    </row>
    <row r="7539" spans="3:9" ht="15.95" customHeight="1" x14ac:dyDescent="0.25">
      <c r="C7539" s="116" t="s">
        <v>376</v>
      </c>
      <c r="D7539" s="117" t="s">
        <v>377</v>
      </c>
      <c r="E7539" s="118"/>
      <c r="F7539" s="118"/>
      <c r="G7539" s="165"/>
      <c r="H7539" s="144"/>
      <c r="I7539" s="126"/>
    </row>
    <row r="7540" spans="3:9" ht="15.95" customHeight="1" x14ac:dyDescent="0.25">
      <c r="C7540" s="122"/>
      <c r="D7540" s="117" t="s">
        <v>417</v>
      </c>
      <c r="E7540" s="118"/>
      <c r="F7540" s="239" t="s">
        <v>130</v>
      </c>
      <c r="G7540" s="242">
        <v>40</v>
      </c>
      <c r="H7540" s="144">
        <f t="shared" ref="H7540:H7545" si="74">VLOOKUP(D7540,Bahan,6,FALSE)</f>
        <v>1040</v>
      </c>
      <c r="I7540" s="126">
        <f t="shared" ref="I7540:I7545" si="75">G7540*H7540</f>
        <v>41600</v>
      </c>
    </row>
    <row r="7541" spans="3:9" ht="15.95" customHeight="1" x14ac:dyDescent="0.25">
      <c r="C7541" s="122"/>
      <c r="D7541" s="117" t="s">
        <v>380</v>
      </c>
      <c r="E7541" s="118"/>
      <c r="F7541" s="239" t="s">
        <v>159</v>
      </c>
      <c r="G7541" s="242">
        <v>44</v>
      </c>
      <c r="H7541" s="144">
        <f t="shared" si="74"/>
        <v>1880</v>
      </c>
      <c r="I7541" s="126">
        <f t="shared" si="75"/>
        <v>82720</v>
      </c>
    </row>
    <row r="7542" spans="3:9" ht="15.95" customHeight="1" x14ac:dyDescent="0.25">
      <c r="C7542" s="122"/>
      <c r="D7542" s="117" t="s">
        <v>416</v>
      </c>
      <c r="E7542" s="118"/>
      <c r="F7542" s="239" t="s">
        <v>489</v>
      </c>
      <c r="G7542" s="242">
        <v>7.0000000000000007E-2</v>
      </c>
      <c r="H7542" s="144">
        <f t="shared" si="74"/>
        <v>253510</v>
      </c>
      <c r="I7542" s="126">
        <f t="shared" si="75"/>
        <v>17745.7</v>
      </c>
    </row>
    <row r="7543" spans="3:9" ht="15.95" customHeight="1" x14ac:dyDescent="0.25">
      <c r="C7543" s="122"/>
      <c r="D7543" s="117" t="s">
        <v>1919</v>
      </c>
      <c r="E7543" s="118"/>
      <c r="F7543" s="239" t="s">
        <v>489</v>
      </c>
      <c r="G7543" s="242">
        <v>0.06</v>
      </c>
      <c r="H7543" s="144">
        <f t="shared" si="74"/>
        <v>350000</v>
      </c>
      <c r="I7543" s="126">
        <f t="shared" si="75"/>
        <v>21000</v>
      </c>
    </row>
    <row r="7544" spans="3:9" ht="15.95" customHeight="1" x14ac:dyDescent="0.25">
      <c r="C7544" s="122"/>
      <c r="D7544" s="117" t="s">
        <v>1922</v>
      </c>
      <c r="E7544" s="118"/>
      <c r="F7544" s="239" t="s">
        <v>489</v>
      </c>
      <c r="G7544" s="242">
        <v>7.0000000000000007E-2</v>
      </c>
      <c r="H7544" s="144">
        <f t="shared" si="74"/>
        <v>600000</v>
      </c>
      <c r="I7544" s="126">
        <f t="shared" si="75"/>
        <v>42000.000000000007</v>
      </c>
    </row>
    <row r="7545" spans="3:9" ht="15.95" customHeight="1" thickBot="1" x14ac:dyDescent="0.3">
      <c r="C7545" s="122"/>
      <c r="D7545" s="117" t="s">
        <v>1563</v>
      </c>
      <c r="E7545" s="118"/>
      <c r="F7545" s="239" t="s">
        <v>159</v>
      </c>
      <c r="G7545" s="242">
        <v>1.6</v>
      </c>
      <c r="H7545" s="144">
        <f t="shared" si="74"/>
        <v>20830</v>
      </c>
      <c r="I7545" s="126">
        <f t="shared" si="75"/>
        <v>33328</v>
      </c>
    </row>
    <row r="7546" spans="3:9" ht="15.95" customHeight="1" thickBot="1" x14ac:dyDescent="0.3">
      <c r="C7546" s="132"/>
      <c r="D7546" s="133"/>
      <c r="E7546" s="134"/>
      <c r="F7546" s="134"/>
      <c r="G7546" s="135" t="s">
        <v>386</v>
      </c>
      <c r="H7546" s="136"/>
      <c r="I7546" s="137">
        <f>SUM(I7540:I7545)</f>
        <v>238393.7</v>
      </c>
    </row>
    <row r="7547" spans="3:9" ht="15.95" customHeight="1" thickBot="1" x14ac:dyDescent="0.3">
      <c r="C7547" s="116" t="s">
        <v>387</v>
      </c>
      <c r="D7547" s="117" t="s">
        <v>388</v>
      </c>
      <c r="E7547" s="118"/>
      <c r="F7547" s="118"/>
      <c r="G7547" s="165"/>
      <c r="H7547" s="144">
        <f>IF(AND(D7547&lt;&gt;"",F7547&lt;&gt;""),IF(C7547="",IF(F7547="OH",VLOOKUP(D7547,[1]UPAH!$B$3:$G$32,7,0),VLOOKUP(D7547,[1]BAHAN!$A$2:$D$3,4,0)),0),0)</f>
        <v>0</v>
      </c>
      <c r="I7547" s="126">
        <f>G7547*H7547</f>
        <v>0</v>
      </c>
    </row>
    <row r="7548" spans="3:9" ht="15.95" customHeight="1" thickBot="1" x14ac:dyDescent="0.3">
      <c r="C7548" s="132"/>
      <c r="D7548" s="133"/>
      <c r="E7548" s="134"/>
      <c r="F7548" s="134"/>
      <c r="G7548" s="135" t="s">
        <v>389</v>
      </c>
      <c r="H7548" s="136"/>
      <c r="I7548" s="137">
        <f>I7547</f>
        <v>0</v>
      </c>
    </row>
    <row r="7549" spans="3:9" ht="15.95" customHeight="1" x14ac:dyDescent="0.25">
      <c r="C7549" s="158" t="s">
        <v>390</v>
      </c>
      <c r="D7549" s="159" t="s">
        <v>391</v>
      </c>
      <c r="E7549" s="160"/>
      <c r="F7549" s="160"/>
      <c r="G7549" s="161"/>
      <c r="H7549" s="162">
        <f>IF(AND(D7549&lt;&gt;"",F7549&lt;&gt;""),IF(C7549="",IF(F7549="OH",VLOOKUP(D7549,[1]UPAH!$B$3:$G$32,7,0),VLOOKUP(D7549,[1]BAHAN!$A$2:$D$3,4,0)),0),0)</f>
        <v>0</v>
      </c>
      <c r="I7549" s="126">
        <f>SUM(I7534:I7548)/2</f>
        <v>630143.69999999995</v>
      </c>
    </row>
    <row r="7550" spans="3:9" ht="15.95" customHeight="1" thickBot="1" x14ac:dyDescent="0.3">
      <c r="C7550" s="147" t="s">
        <v>392</v>
      </c>
      <c r="D7550" s="148" t="s">
        <v>393</v>
      </c>
      <c r="E7550" s="149"/>
      <c r="F7550" s="149"/>
      <c r="G7550" s="164">
        <v>0.1</v>
      </c>
      <c r="H7550" s="151"/>
      <c r="I7550" s="146">
        <f>G7550*I7549</f>
        <v>63014.369999999995</v>
      </c>
    </row>
    <row r="7551" spans="3:9" ht="15.95" customHeight="1" thickBot="1" x14ac:dyDescent="0.3">
      <c r="C7551" s="111" t="s">
        <v>394</v>
      </c>
      <c r="D7551" s="112" t="s">
        <v>395</v>
      </c>
      <c r="E7551" s="134"/>
      <c r="F7551" s="134"/>
      <c r="G7551" s="156"/>
      <c r="H7551" s="136">
        <f>IF(AND(D7551&lt;&gt;"",F7551&lt;&gt;""),IF(C7551="",IF(F7551="OH",VLOOKUP(D7551,[1]UPAH!$B$3:$G$32,7,0),VLOOKUP(D7551,[1]BAHAN!$A$2:$D$3,4,0)),0),0)</f>
        <v>0</v>
      </c>
      <c r="I7551" s="137">
        <f>ROUNDDOWN(I7549+I7550,0)</f>
        <v>693158</v>
      </c>
    </row>
    <row r="7552" spans="3:9" ht="15.95" customHeight="1" x14ac:dyDescent="0.25">
      <c r="C7552" s="109"/>
      <c r="D7552" s="109"/>
      <c r="G7552" s="157"/>
      <c r="H7552" s="166"/>
      <c r="I7552" s="110"/>
    </row>
    <row r="7553" spans="2:10" ht="15.95" customHeight="1" thickBot="1" x14ac:dyDescent="0.3">
      <c r="B7553" s="109" t="s">
        <v>1577</v>
      </c>
      <c r="C7553" s="104" t="s">
        <v>1578</v>
      </c>
      <c r="G7553" s="157"/>
      <c r="J7553" s="110">
        <f>I7573</f>
        <v>1017730</v>
      </c>
    </row>
    <row r="7554" spans="2:10" ht="15.95" customHeight="1" thickBot="1" x14ac:dyDescent="0.3">
      <c r="C7554" s="111" t="s">
        <v>328</v>
      </c>
      <c r="D7554" s="112" t="s">
        <v>359</v>
      </c>
      <c r="E7554" s="113" t="s">
        <v>360</v>
      </c>
      <c r="F7554" s="113" t="s">
        <v>330</v>
      </c>
      <c r="G7554" s="114" t="s">
        <v>361</v>
      </c>
      <c r="H7554" s="112" t="s">
        <v>362</v>
      </c>
      <c r="I7554" s="115" t="s">
        <v>363</v>
      </c>
    </row>
    <row r="7555" spans="2:10" ht="15.95" customHeight="1" x14ac:dyDescent="0.25">
      <c r="C7555" s="158" t="s">
        <v>364</v>
      </c>
      <c r="D7555" s="159" t="s">
        <v>365</v>
      </c>
      <c r="E7555" s="160"/>
      <c r="F7555" s="160"/>
      <c r="G7555" s="161"/>
      <c r="H7555" s="162"/>
      <c r="I7555" s="163"/>
    </row>
    <row r="7556" spans="2:10" ht="15.95" customHeight="1" x14ac:dyDescent="0.25">
      <c r="C7556" s="122"/>
      <c r="D7556" s="117" t="s">
        <v>366</v>
      </c>
      <c r="E7556" s="123" t="s">
        <v>367</v>
      </c>
      <c r="F7556" s="239" t="s">
        <v>368</v>
      </c>
      <c r="G7556" s="242">
        <v>3.2</v>
      </c>
      <c r="H7556" s="243">
        <f>VLOOKUP(D7556,Upah,8,FALSE)</f>
        <v>125000</v>
      </c>
      <c r="I7556" s="126">
        <f>G7556*H7556</f>
        <v>400000</v>
      </c>
    </row>
    <row r="7557" spans="2:10" ht="15.95" customHeight="1" x14ac:dyDescent="0.25">
      <c r="C7557" s="122"/>
      <c r="D7557" s="117" t="s">
        <v>413</v>
      </c>
      <c r="E7557" s="123" t="s">
        <v>414</v>
      </c>
      <c r="F7557" s="239" t="s">
        <v>368</v>
      </c>
      <c r="G7557" s="242">
        <v>1.1499999999999999</v>
      </c>
      <c r="H7557" s="243">
        <f>VLOOKUP(D7557,Upah,8,FALSE)</f>
        <v>150000</v>
      </c>
      <c r="I7557" s="126">
        <f>G7557*H7557</f>
        <v>172500</v>
      </c>
    </row>
    <row r="7558" spans="2:10" ht="15.95" customHeight="1" x14ac:dyDescent="0.25">
      <c r="C7558" s="122"/>
      <c r="D7558" s="117" t="s">
        <v>429</v>
      </c>
      <c r="E7558" s="123" t="s">
        <v>372</v>
      </c>
      <c r="F7558" s="239" t="s">
        <v>368</v>
      </c>
      <c r="G7558" s="242">
        <v>1.0999999999999999E-2</v>
      </c>
      <c r="H7558" s="243">
        <f>VLOOKUP(D7558,Upah,8,FALSE)</f>
        <v>165000</v>
      </c>
      <c r="I7558" s="126">
        <f>G7558*H7558</f>
        <v>1815</v>
      </c>
    </row>
    <row r="7559" spans="2:10" ht="15.95" customHeight="1" thickBot="1" x14ac:dyDescent="0.3">
      <c r="C7559" s="122"/>
      <c r="D7559" s="117" t="s">
        <v>373</v>
      </c>
      <c r="E7559" s="123" t="s">
        <v>374</v>
      </c>
      <c r="F7559" s="239" t="s">
        <v>368</v>
      </c>
      <c r="G7559" s="242">
        <v>1.6E-2</v>
      </c>
      <c r="H7559" s="243">
        <f>VLOOKUP(D7559,Upah,8,FALSE)</f>
        <v>170000</v>
      </c>
      <c r="I7559" s="126">
        <f>G7559*H7559</f>
        <v>2720</v>
      </c>
    </row>
    <row r="7560" spans="2:10" ht="15.95" customHeight="1" thickBot="1" x14ac:dyDescent="0.3">
      <c r="C7560" s="132"/>
      <c r="D7560" s="133"/>
      <c r="E7560" s="134"/>
      <c r="F7560" s="134"/>
      <c r="G7560" s="135" t="s">
        <v>375</v>
      </c>
      <c r="H7560" s="136"/>
      <c r="I7560" s="137">
        <f>SUM(I7556:I7559)</f>
        <v>577035</v>
      </c>
    </row>
    <row r="7561" spans="2:10" ht="15.95" customHeight="1" x14ac:dyDescent="0.25">
      <c r="C7561" s="116" t="s">
        <v>376</v>
      </c>
      <c r="D7561" s="117" t="s">
        <v>377</v>
      </c>
      <c r="E7561" s="118"/>
      <c r="F7561" s="118"/>
      <c r="G7561" s="165"/>
      <c r="H7561" s="144"/>
      <c r="I7561" s="126"/>
    </row>
    <row r="7562" spans="2:10" ht="15.95" customHeight="1" x14ac:dyDescent="0.25">
      <c r="C7562" s="122"/>
      <c r="D7562" s="117" t="s">
        <v>417</v>
      </c>
      <c r="E7562" s="118"/>
      <c r="F7562" s="239" t="s">
        <v>130</v>
      </c>
      <c r="G7562" s="242">
        <v>70</v>
      </c>
      <c r="H7562" s="144">
        <f t="shared" ref="H7562:H7567" si="76">VLOOKUP(D7562,Bahan,6,FALSE)</f>
        <v>1040</v>
      </c>
      <c r="I7562" s="126">
        <f t="shared" ref="I7562:I7567" si="77">G7562*H7562</f>
        <v>72800</v>
      </c>
    </row>
    <row r="7563" spans="2:10" ht="15.95" customHeight="1" x14ac:dyDescent="0.25">
      <c r="C7563" s="122"/>
      <c r="D7563" s="117" t="s">
        <v>380</v>
      </c>
      <c r="E7563" s="118"/>
      <c r="F7563" s="239" t="s">
        <v>159</v>
      </c>
      <c r="G7563" s="242">
        <v>77</v>
      </c>
      <c r="H7563" s="144">
        <f t="shared" si="76"/>
        <v>1880</v>
      </c>
      <c r="I7563" s="126">
        <f t="shared" si="77"/>
        <v>144760</v>
      </c>
    </row>
    <row r="7564" spans="2:10" ht="15.95" customHeight="1" x14ac:dyDescent="0.25">
      <c r="C7564" s="122"/>
      <c r="D7564" s="117" t="s">
        <v>416</v>
      </c>
      <c r="E7564" s="118"/>
      <c r="F7564" s="239" t="s">
        <v>489</v>
      </c>
      <c r="G7564" s="242">
        <v>0.13</v>
      </c>
      <c r="H7564" s="144">
        <f t="shared" si="76"/>
        <v>253510</v>
      </c>
      <c r="I7564" s="126">
        <f t="shared" si="77"/>
        <v>32956.300000000003</v>
      </c>
    </row>
    <row r="7565" spans="2:10" ht="15.95" customHeight="1" x14ac:dyDescent="0.25">
      <c r="C7565" s="122"/>
      <c r="D7565" s="117" t="s">
        <v>1919</v>
      </c>
      <c r="E7565" s="118"/>
      <c r="F7565" s="239" t="s">
        <v>489</v>
      </c>
      <c r="G7565" s="242">
        <v>0.09</v>
      </c>
      <c r="H7565" s="144">
        <f t="shared" si="76"/>
        <v>350000</v>
      </c>
      <c r="I7565" s="126">
        <f t="shared" si="77"/>
        <v>31500</v>
      </c>
    </row>
    <row r="7566" spans="2:10" ht="15.95" customHeight="1" x14ac:dyDescent="0.25">
      <c r="C7566" s="122"/>
      <c r="D7566" s="117" t="s">
        <v>1922</v>
      </c>
      <c r="E7566" s="118"/>
      <c r="F7566" s="239" t="s">
        <v>489</v>
      </c>
      <c r="G7566" s="242">
        <v>0.02</v>
      </c>
      <c r="H7566" s="144">
        <f t="shared" si="76"/>
        <v>600000</v>
      </c>
      <c r="I7566" s="126">
        <f t="shared" si="77"/>
        <v>12000</v>
      </c>
    </row>
    <row r="7567" spans="2:10" ht="15.95" customHeight="1" thickBot="1" x14ac:dyDescent="0.3">
      <c r="C7567" s="122"/>
      <c r="D7567" s="117" t="s">
        <v>1563</v>
      </c>
      <c r="E7567" s="118"/>
      <c r="F7567" s="239" t="s">
        <v>159</v>
      </c>
      <c r="G7567" s="242">
        <v>2.6</v>
      </c>
      <c r="H7567" s="144">
        <f t="shared" si="76"/>
        <v>20830</v>
      </c>
      <c r="I7567" s="126">
        <f t="shared" si="77"/>
        <v>54158</v>
      </c>
    </row>
    <row r="7568" spans="2:10" ht="15.95" customHeight="1" thickBot="1" x14ac:dyDescent="0.3">
      <c r="C7568" s="132"/>
      <c r="D7568" s="133"/>
      <c r="E7568" s="134"/>
      <c r="F7568" s="134"/>
      <c r="G7568" s="135" t="s">
        <v>386</v>
      </c>
      <c r="H7568" s="136"/>
      <c r="I7568" s="137">
        <f>SUM(I7562:I7567)</f>
        <v>348174.3</v>
      </c>
    </row>
    <row r="7569" spans="2:10" ht="15.95" customHeight="1" thickBot="1" x14ac:dyDescent="0.3">
      <c r="C7569" s="116" t="s">
        <v>387</v>
      </c>
      <c r="D7569" s="117" t="s">
        <v>388</v>
      </c>
      <c r="E7569" s="118"/>
      <c r="F7569" s="118"/>
      <c r="G7569" s="165"/>
      <c r="H7569" s="144">
        <f>IF(AND(D7569&lt;&gt;"",F7569&lt;&gt;""),IF(C7569="",IF(F7569="OH",VLOOKUP(D7569,[1]UPAH!$B$3:$G$32,7,0),VLOOKUP(D7569,[1]BAHAN!$A$2:$D$3,4,0)),0),0)</f>
        <v>0</v>
      </c>
      <c r="I7569" s="126">
        <f>G7569*H7569</f>
        <v>0</v>
      </c>
    </row>
    <row r="7570" spans="2:10" ht="15.95" customHeight="1" thickBot="1" x14ac:dyDescent="0.3">
      <c r="C7570" s="132"/>
      <c r="D7570" s="133"/>
      <c r="E7570" s="134"/>
      <c r="F7570" s="134"/>
      <c r="G7570" s="135" t="s">
        <v>389</v>
      </c>
      <c r="H7570" s="136"/>
      <c r="I7570" s="137">
        <f>I7569</f>
        <v>0</v>
      </c>
    </row>
    <row r="7571" spans="2:10" ht="15.95" customHeight="1" x14ac:dyDescent="0.25">
      <c r="C7571" s="158" t="s">
        <v>390</v>
      </c>
      <c r="D7571" s="159" t="s">
        <v>391</v>
      </c>
      <c r="E7571" s="160"/>
      <c r="F7571" s="160"/>
      <c r="G7571" s="161"/>
      <c r="H7571" s="162">
        <f>IF(AND(D7571&lt;&gt;"",F7571&lt;&gt;""),IF(C7571="",IF(F7571="OH",VLOOKUP(D7571,[1]UPAH!$B$3:$G$32,7,0),VLOOKUP(D7571,[1]BAHAN!$A$2:$D$3,4,0)),0),0)</f>
        <v>0</v>
      </c>
      <c r="I7571" s="126">
        <f>SUM(I7556:I7570)/2</f>
        <v>925209.3</v>
      </c>
    </row>
    <row r="7572" spans="2:10" ht="15.95" customHeight="1" thickBot="1" x14ac:dyDescent="0.3">
      <c r="C7572" s="147" t="s">
        <v>392</v>
      </c>
      <c r="D7572" s="148" t="s">
        <v>393</v>
      </c>
      <c r="E7572" s="149"/>
      <c r="F7572" s="149"/>
      <c r="G7572" s="164">
        <v>0.1</v>
      </c>
      <c r="H7572" s="151"/>
      <c r="I7572" s="146">
        <f>G7572*I7571</f>
        <v>92520.930000000008</v>
      </c>
    </row>
    <row r="7573" spans="2:10" ht="15.95" customHeight="1" thickBot="1" x14ac:dyDescent="0.3">
      <c r="C7573" s="111" t="s">
        <v>394</v>
      </c>
      <c r="D7573" s="112" t="s">
        <v>395</v>
      </c>
      <c r="E7573" s="134"/>
      <c r="F7573" s="134"/>
      <c r="G7573" s="156"/>
      <c r="H7573" s="136">
        <f>IF(AND(D7573&lt;&gt;"",F7573&lt;&gt;""),IF(C7573="",IF(F7573="OH",VLOOKUP(D7573,[1]UPAH!$B$3:$G$32,7,0),VLOOKUP(D7573,[1]BAHAN!$A$2:$D$3,4,0)),0),0)</f>
        <v>0</v>
      </c>
      <c r="I7573" s="137">
        <f>ROUNDDOWN(I7571+I7572,0)</f>
        <v>1017730</v>
      </c>
    </row>
    <row r="7574" spans="2:10" ht="15.95" customHeight="1" x14ac:dyDescent="0.25">
      <c r="C7574" s="109"/>
      <c r="D7574" s="109"/>
      <c r="G7574" s="157"/>
      <c r="H7574" s="166"/>
      <c r="I7574" s="110"/>
    </row>
    <row r="7575" spans="2:10" ht="15.95" customHeight="1" thickBot="1" x14ac:dyDescent="0.3">
      <c r="B7575" s="109" t="s">
        <v>1579</v>
      </c>
      <c r="C7575" s="104" t="s">
        <v>1580</v>
      </c>
      <c r="G7575" s="157"/>
      <c r="J7575" s="110">
        <f>I7595</f>
        <v>1241620</v>
      </c>
    </row>
    <row r="7576" spans="2:10" ht="15.95" customHeight="1" thickBot="1" x14ac:dyDescent="0.3">
      <c r="C7576" s="111" t="s">
        <v>328</v>
      </c>
      <c r="D7576" s="112" t="s">
        <v>359</v>
      </c>
      <c r="E7576" s="113" t="s">
        <v>360</v>
      </c>
      <c r="F7576" s="113" t="s">
        <v>330</v>
      </c>
      <c r="G7576" s="114" t="s">
        <v>361</v>
      </c>
      <c r="H7576" s="112" t="s">
        <v>362</v>
      </c>
      <c r="I7576" s="115" t="s">
        <v>363</v>
      </c>
    </row>
    <row r="7577" spans="2:10" ht="15.95" customHeight="1" x14ac:dyDescent="0.25">
      <c r="C7577" s="158" t="s">
        <v>364</v>
      </c>
      <c r="D7577" s="159" t="s">
        <v>365</v>
      </c>
      <c r="E7577" s="160"/>
      <c r="F7577" s="160"/>
      <c r="G7577" s="161"/>
      <c r="H7577" s="162"/>
      <c r="I7577" s="163"/>
    </row>
    <row r="7578" spans="2:10" ht="15.95" customHeight="1" x14ac:dyDescent="0.25">
      <c r="C7578" s="122"/>
      <c r="D7578" s="117" t="s">
        <v>366</v>
      </c>
      <c r="E7578" s="123" t="s">
        <v>367</v>
      </c>
      <c r="F7578" s="239" t="s">
        <v>368</v>
      </c>
      <c r="G7578" s="242">
        <v>3.2</v>
      </c>
      <c r="H7578" s="243">
        <f>VLOOKUP(D7578,Upah,8,FALSE)</f>
        <v>125000</v>
      </c>
      <c r="I7578" s="126">
        <f>G7578*H7578</f>
        <v>400000</v>
      </c>
    </row>
    <row r="7579" spans="2:10" ht="15.95" customHeight="1" x14ac:dyDescent="0.25">
      <c r="C7579" s="122"/>
      <c r="D7579" s="117" t="s">
        <v>413</v>
      </c>
      <c r="E7579" s="123" t="s">
        <v>414</v>
      </c>
      <c r="F7579" s="239" t="s">
        <v>368</v>
      </c>
      <c r="G7579" s="242">
        <v>1.1499999999999999</v>
      </c>
      <c r="H7579" s="243">
        <f>VLOOKUP(D7579,Upah,8,FALSE)</f>
        <v>150000</v>
      </c>
      <c r="I7579" s="126">
        <f>G7579*H7579</f>
        <v>172500</v>
      </c>
    </row>
    <row r="7580" spans="2:10" ht="15.95" customHeight="1" x14ac:dyDescent="0.25">
      <c r="C7580" s="122"/>
      <c r="D7580" s="117" t="s">
        <v>429</v>
      </c>
      <c r="E7580" s="123" t="s">
        <v>372</v>
      </c>
      <c r="F7580" s="239" t="s">
        <v>368</v>
      </c>
      <c r="G7580" s="242">
        <v>1.0999999999999999E-2</v>
      </c>
      <c r="H7580" s="243">
        <f>VLOOKUP(D7580,Upah,8,FALSE)</f>
        <v>165000</v>
      </c>
      <c r="I7580" s="126">
        <f>G7580*H7580</f>
        <v>1815</v>
      </c>
    </row>
    <row r="7581" spans="2:10" ht="15.95" customHeight="1" thickBot="1" x14ac:dyDescent="0.3">
      <c r="C7581" s="122"/>
      <c r="D7581" s="117" t="s">
        <v>373</v>
      </c>
      <c r="E7581" s="123" t="s">
        <v>374</v>
      </c>
      <c r="F7581" s="239" t="s">
        <v>368</v>
      </c>
      <c r="G7581" s="242">
        <v>1.6E-2</v>
      </c>
      <c r="H7581" s="243">
        <f>VLOOKUP(D7581,Upah,8,FALSE)</f>
        <v>170000</v>
      </c>
      <c r="I7581" s="126">
        <f>G7581*H7581</f>
        <v>2720</v>
      </c>
    </row>
    <row r="7582" spans="2:10" ht="15.95" customHeight="1" thickBot="1" x14ac:dyDescent="0.3">
      <c r="C7582" s="132"/>
      <c r="D7582" s="133"/>
      <c r="E7582" s="134"/>
      <c r="F7582" s="134"/>
      <c r="G7582" s="135" t="s">
        <v>375</v>
      </c>
      <c r="H7582" s="136"/>
      <c r="I7582" s="137">
        <f>SUM(I7578:I7581)</f>
        <v>577035</v>
      </c>
    </row>
    <row r="7583" spans="2:10" ht="15.95" customHeight="1" x14ac:dyDescent="0.25">
      <c r="C7583" s="116" t="s">
        <v>376</v>
      </c>
      <c r="D7583" s="117" t="s">
        <v>377</v>
      </c>
      <c r="E7583" s="118"/>
      <c r="F7583" s="118"/>
      <c r="G7583" s="165"/>
      <c r="H7583" s="144"/>
      <c r="I7583" s="126"/>
    </row>
    <row r="7584" spans="2:10" ht="15.95" customHeight="1" x14ac:dyDescent="0.25">
      <c r="C7584" s="122"/>
      <c r="D7584" s="117" t="s">
        <v>417</v>
      </c>
      <c r="E7584" s="118"/>
      <c r="F7584" s="239" t="s">
        <v>130</v>
      </c>
      <c r="G7584" s="242">
        <v>123</v>
      </c>
      <c r="H7584" s="144">
        <f t="shared" ref="H7584:H7589" si="78">VLOOKUP(D7584,Bahan,6,FALSE)</f>
        <v>1040</v>
      </c>
      <c r="I7584" s="126">
        <f t="shared" ref="I7584:I7589" si="79">G7584*H7584</f>
        <v>127920</v>
      </c>
    </row>
    <row r="7585" spans="2:10" ht="15.95" customHeight="1" x14ac:dyDescent="0.25">
      <c r="C7585" s="122"/>
      <c r="D7585" s="117" t="s">
        <v>380</v>
      </c>
      <c r="E7585" s="118"/>
      <c r="F7585" s="239" t="s">
        <v>159</v>
      </c>
      <c r="G7585" s="242">
        <v>114</v>
      </c>
      <c r="H7585" s="144">
        <f t="shared" si="78"/>
        <v>1880</v>
      </c>
      <c r="I7585" s="126">
        <f t="shared" si="79"/>
        <v>214320</v>
      </c>
    </row>
    <row r="7586" spans="2:10" ht="15.95" customHeight="1" x14ac:dyDescent="0.25">
      <c r="C7586" s="122"/>
      <c r="D7586" s="117" t="s">
        <v>416</v>
      </c>
      <c r="E7586" s="118"/>
      <c r="F7586" s="239" t="s">
        <v>489</v>
      </c>
      <c r="G7586" s="242">
        <v>0.184</v>
      </c>
      <c r="H7586" s="144">
        <f t="shared" si="78"/>
        <v>253510</v>
      </c>
      <c r="I7586" s="126">
        <f t="shared" si="79"/>
        <v>46645.84</v>
      </c>
    </row>
    <row r="7587" spans="2:10" ht="15.95" customHeight="1" x14ac:dyDescent="0.25">
      <c r="C7587" s="122"/>
      <c r="D7587" s="117" t="s">
        <v>1919</v>
      </c>
      <c r="E7587" s="118"/>
      <c r="F7587" s="239" t="s">
        <v>489</v>
      </c>
      <c r="G7587" s="242">
        <v>0.12</v>
      </c>
      <c r="H7587" s="144">
        <f t="shared" si="78"/>
        <v>350000</v>
      </c>
      <c r="I7587" s="126">
        <f t="shared" si="79"/>
        <v>42000</v>
      </c>
    </row>
    <row r="7588" spans="2:10" ht="15.95" customHeight="1" x14ac:dyDescent="0.25">
      <c r="C7588" s="122"/>
      <c r="D7588" s="117" t="s">
        <v>1922</v>
      </c>
      <c r="E7588" s="118"/>
      <c r="F7588" s="239" t="s">
        <v>489</v>
      </c>
      <c r="G7588" s="242">
        <v>3.3000000000000002E-2</v>
      </c>
      <c r="H7588" s="144">
        <f t="shared" si="78"/>
        <v>600000</v>
      </c>
      <c r="I7588" s="126">
        <f t="shared" si="79"/>
        <v>19800</v>
      </c>
    </row>
    <row r="7589" spans="2:10" ht="15.95" customHeight="1" thickBot="1" x14ac:dyDescent="0.3">
      <c r="C7589" s="122"/>
      <c r="D7589" s="117" t="s">
        <v>1563</v>
      </c>
      <c r="E7589" s="118"/>
      <c r="F7589" s="239" t="s">
        <v>159</v>
      </c>
      <c r="G7589" s="242">
        <v>4.8499999999999996</v>
      </c>
      <c r="H7589" s="144">
        <f t="shared" si="78"/>
        <v>20830</v>
      </c>
      <c r="I7589" s="126">
        <f t="shared" si="79"/>
        <v>101025.49999999999</v>
      </c>
    </row>
    <row r="7590" spans="2:10" ht="15.95" customHeight="1" thickBot="1" x14ac:dyDescent="0.3">
      <c r="C7590" s="132"/>
      <c r="D7590" s="133"/>
      <c r="E7590" s="134"/>
      <c r="F7590" s="134"/>
      <c r="G7590" s="135" t="s">
        <v>386</v>
      </c>
      <c r="H7590" s="136"/>
      <c r="I7590" s="137">
        <f>SUM(I7584:I7589)</f>
        <v>551711.34</v>
      </c>
    </row>
    <row r="7591" spans="2:10" ht="15.95" customHeight="1" thickBot="1" x14ac:dyDescent="0.3">
      <c r="C7591" s="116" t="s">
        <v>387</v>
      </c>
      <c r="D7591" s="117" t="s">
        <v>388</v>
      </c>
      <c r="E7591" s="118"/>
      <c r="F7591" s="118"/>
      <c r="G7591" s="165"/>
      <c r="H7591" s="144">
        <f>IF(AND(D7591&lt;&gt;"",F7591&lt;&gt;""),IF(C7591="",IF(F7591="OH",VLOOKUP(D7591,[1]UPAH!$B$3:$G$32,7,0),VLOOKUP(D7591,[1]BAHAN!$A$2:$D$3,4,0)),0),0)</f>
        <v>0</v>
      </c>
      <c r="I7591" s="126">
        <f>G7591*H7591</f>
        <v>0</v>
      </c>
    </row>
    <row r="7592" spans="2:10" ht="15.95" customHeight="1" thickBot="1" x14ac:dyDescent="0.3">
      <c r="C7592" s="132"/>
      <c r="D7592" s="133"/>
      <c r="E7592" s="134"/>
      <c r="F7592" s="134"/>
      <c r="G7592" s="135" t="s">
        <v>389</v>
      </c>
      <c r="H7592" s="136"/>
      <c r="I7592" s="137">
        <f>I7591</f>
        <v>0</v>
      </c>
    </row>
    <row r="7593" spans="2:10" ht="15.95" customHeight="1" x14ac:dyDescent="0.25">
      <c r="C7593" s="158" t="s">
        <v>390</v>
      </c>
      <c r="D7593" s="159" t="s">
        <v>391</v>
      </c>
      <c r="E7593" s="160"/>
      <c r="F7593" s="160"/>
      <c r="G7593" s="161"/>
      <c r="H7593" s="162">
        <f>IF(AND(D7593&lt;&gt;"",F7593&lt;&gt;""),IF(C7593="",IF(F7593="OH",VLOOKUP(D7593,[1]UPAH!$B$3:$G$32,7,0),VLOOKUP(D7593,[1]BAHAN!$A$2:$D$3,4,0)),0),0)</f>
        <v>0</v>
      </c>
      <c r="I7593" s="126">
        <f>SUM(I7578:I7592)/2</f>
        <v>1128746.3400000001</v>
      </c>
    </row>
    <row r="7594" spans="2:10" ht="15.95" customHeight="1" thickBot="1" x14ac:dyDescent="0.3">
      <c r="C7594" s="147" t="s">
        <v>392</v>
      </c>
      <c r="D7594" s="148" t="s">
        <v>393</v>
      </c>
      <c r="E7594" s="149"/>
      <c r="F7594" s="149"/>
      <c r="G7594" s="164">
        <v>0.1</v>
      </c>
      <c r="H7594" s="151"/>
      <c r="I7594" s="146">
        <f>G7594*I7593</f>
        <v>112874.63400000002</v>
      </c>
    </row>
    <row r="7595" spans="2:10" ht="15.95" customHeight="1" thickBot="1" x14ac:dyDescent="0.3">
      <c r="C7595" s="111" t="s">
        <v>394</v>
      </c>
      <c r="D7595" s="112" t="s">
        <v>395</v>
      </c>
      <c r="E7595" s="134"/>
      <c r="F7595" s="134"/>
      <c r="G7595" s="156"/>
      <c r="H7595" s="136">
        <f>IF(AND(D7595&lt;&gt;"",F7595&lt;&gt;""),IF(C7595="",IF(F7595="OH",VLOOKUP(D7595,[1]UPAH!$B$3:$G$32,7,0),VLOOKUP(D7595,[1]BAHAN!$A$2:$D$3,4,0)),0),0)</f>
        <v>0</v>
      </c>
      <c r="I7595" s="137">
        <f>ROUNDDOWN(I7593+I7594,0)</f>
        <v>1241620</v>
      </c>
    </row>
    <row r="7596" spans="2:10" ht="15.95" customHeight="1" x14ac:dyDescent="0.25">
      <c r="C7596" s="109"/>
      <c r="D7596" s="109"/>
      <c r="G7596" s="157"/>
      <c r="H7596" s="166"/>
      <c r="I7596" s="110"/>
    </row>
    <row r="7597" spans="2:10" ht="15.95" customHeight="1" thickBot="1" x14ac:dyDescent="0.3">
      <c r="B7597" s="109" t="s">
        <v>1581</v>
      </c>
      <c r="C7597" s="104" t="s">
        <v>1582</v>
      </c>
      <c r="G7597" s="157"/>
      <c r="J7597" s="110">
        <f>I7613</f>
        <v>82417</v>
      </c>
    </row>
    <row r="7598" spans="2:10" ht="15.95" customHeight="1" thickBot="1" x14ac:dyDescent="0.3">
      <c r="C7598" s="111" t="s">
        <v>328</v>
      </c>
      <c r="D7598" s="112" t="s">
        <v>359</v>
      </c>
      <c r="E7598" s="113" t="s">
        <v>360</v>
      </c>
      <c r="F7598" s="113" t="s">
        <v>330</v>
      </c>
      <c r="G7598" s="114" t="s">
        <v>361</v>
      </c>
      <c r="H7598" s="112" t="s">
        <v>362</v>
      </c>
      <c r="I7598" s="115" t="s">
        <v>363</v>
      </c>
    </row>
    <row r="7599" spans="2:10" ht="15.95" customHeight="1" x14ac:dyDescent="0.25">
      <c r="C7599" s="158" t="s">
        <v>364</v>
      </c>
      <c r="D7599" s="159" t="s">
        <v>365</v>
      </c>
      <c r="E7599" s="160"/>
      <c r="F7599" s="160"/>
      <c r="G7599" s="161"/>
      <c r="H7599" s="162"/>
      <c r="I7599" s="163"/>
    </row>
    <row r="7600" spans="2:10" ht="15.95" customHeight="1" x14ac:dyDescent="0.25">
      <c r="C7600" s="122"/>
      <c r="D7600" s="117" t="s">
        <v>366</v>
      </c>
      <c r="E7600" s="123" t="s">
        <v>367</v>
      </c>
      <c r="F7600" s="239" t="s">
        <v>368</v>
      </c>
      <c r="G7600" s="242">
        <v>5.3999999999999999E-2</v>
      </c>
      <c r="H7600" s="243">
        <f>VLOOKUP(D7600,Upah,8,FALSE)</f>
        <v>125000</v>
      </c>
      <c r="I7600" s="126">
        <f>G7600*H7600</f>
        <v>6750</v>
      </c>
    </row>
    <row r="7601" spans="2:10" ht="15.95" customHeight="1" x14ac:dyDescent="0.25">
      <c r="C7601" s="122"/>
      <c r="D7601" s="117" t="s">
        <v>413</v>
      </c>
      <c r="E7601" s="123" t="s">
        <v>414</v>
      </c>
      <c r="F7601" s="239" t="s">
        <v>368</v>
      </c>
      <c r="G7601" s="242">
        <v>0.09</v>
      </c>
      <c r="H7601" s="243">
        <f>VLOOKUP(D7601,Upah,8,FALSE)</f>
        <v>150000</v>
      </c>
      <c r="I7601" s="126">
        <f>G7601*H7601</f>
        <v>13500</v>
      </c>
    </row>
    <row r="7602" spans="2:10" ht="15.95" customHeight="1" x14ac:dyDescent="0.25">
      <c r="C7602" s="122"/>
      <c r="D7602" s="117" t="s">
        <v>429</v>
      </c>
      <c r="E7602" s="123" t="s">
        <v>372</v>
      </c>
      <c r="F7602" s="239" t="s">
        <v>368</v>
      </c>
      <c r="G7602" s="242">
        <v>8.9999999999999993E-3</v>
      </c>
      <c r="H7602" s="243">
        <f>VLOOKUP(D7602,Upah,8,FALSE)</f>
        <v>165000</v>
      </c>
      <c r="I7602" s="126">
        <f>G7602*H7602</f>
        <v>1485</v>
      </c>
    </row>
    <row r="7603" spans="2:10" ht="15.95" customHeight="1" thickBot="1" x14ac:dyDescent="0.3">
      <c r="C7603" s="122"/>
      <c r="D7603" s="117" t="s">
        <v>373</v>
      </c>
      <c r="E7603" s="123" t="s">
        <v>374</v>
      </c>
      <c r="F7603" s="239" t="s">
        <v>368</v>
      </c>
      <c r="G7603" s="242">
        <v>2.7E-2</v>
      </c>
      <c r="H7603" s="243">
        <f>VLOOKUP(D7603,Upah,8,FALSE)</f>
        <v>170000</v>
      </c>
      <c r="I7603" s="126">
        <f>G7603*H7603</f>
        <v>4590</v>
      </c>
    </row>
    <row r="7604" spans="2:10" ht="15.95" customHeight="1" thickBot="1" x14ac:dyDescent="0.3">
      <c r="C7604" s="132"/>
      <c r="D7604" s="133"/>
      <c r="E7604" s="134"/>
      <c r="F7604" s="134"/>
      <c r="G7604" s="135" t="s">
        <v>375</v>
      </c>
      <c r="H7604" s="136"/>
      <c r="I7604" s="137">
        <f>SUM(I7600:I7603)</f>
        <v>26325</v>
      </c>
    </row>
    <row r="7605" spans="2:10" ht="15.95" customHeight="1" x14ac:dyDescent="0.25">
      <c r="C7605" s="116" t="s">
        <v>376</v>
      </c>
      <c r="D7605" s="117" t="s">
        <v>377</v>
      </c>
      <c r="E7605" s="118"/>
      <c r="F7605" s="118"/>
      <c r="G7605" s="165"/>
      <c r="H7605" s="144"/>
      <c r="I7605" s="126"/>
    </row>
    <row r="7606" spans="2:10" ht="15.95" customHeight="1" x14ac:dyDescent="0.25">
      <c r="C7606" s="122"/>
      <c r="D7606" s="117" t="s">
        <v>1583</v>
      </c>
      <c r="E7606" s="118"/>
      <c r="F7606" s="239" t="s">
        <v>75</v>
      </c>
      <c r="G7606" s="242">
        <v>1.2</v>
      </c>
      <c r="H7606" s="144">
        <f>VLOOKUP(D7606,Bahan,6,FALSE)</f>
        <v>30000</v>
      </c>
      <c r="I7606" s="126">
        <f>G7606*H7606</f>
        <v>36000</v>
      </c>
    </row>
    <row r="7607" spans="2:10" ht="15.95" customHeight="1" thickBot="1" x14ac:dyDescent="0.3">
      <c r="C7607" s="122"/>
      <c r="D7607" s="117" t="s">
        <v>1535</v>
      </c>
      <c r="E7607" s="118"/>
      <c r="F7607" s="239" t="s">
        <v>1147</v>
      </c>
      <c r="G7607" s="242">
        <v>35</v>
      </c>
      <c r="H7607" s="144">
        <f>I7606/100</f>
        <v>360</v>
      </c>
      <c r="I7607" s="126">
        <f>G7607*H7607</f>
        <v>12600</v>
      </c>
    </row>
    <row r="7608" spans="2:10" ht="15.95" customHeight="1" thickBot="1" x14ac:dyDescent="0.3">
      <c r="C7608" s="132"/>
      <c r="D7608" s="133"/>
      <c r="E7608" s="134"/>
      <c r="F7608" s="134"/>
      <c r="G7608" s="135" t="s">
        <v>386</v>
      </c>
      <c r="H7608" s="136"/>
      <c r="I7608" s="137">
        <f>SUM(I7606:I7607)</f>
        <v>48600</v>
      </c>
    </row>
    <row r="7609" spans="2:10" ht="15.95" customHeight="1" thickBot="1" x14ac:dyDescent="0.3">
      <c r="C7609" s="116" t="s">
        <v>387</v>
      </c>
      <c r="D7609" s="117" t="s">
        <v>388</v>
      </c>
      <c r="E7609" s="118"/>
      <c r="F7609" s="118"/>
      <c r="G7609" s="165"/>
      <c r="H7609" s="144">
        <f>IF(AND(D7609&lt;&gt;"",F7609&lt;&gt;""),IF(C7609="",IF(F7609="OH",VLOOKUP(D7609,[1]UPAH!$B$3:$G$32,7,0),VLOOKUP(D7609,[1]BAHAN!$A$2:$D$3,4,0)),0),0)</f>
        <v>0</v>
      </c>
      <c r="I7609" s="126">
        <f>G7609*H7609</f>
        <v>0</v>
      </c>
    </row>
    <row r="7610" spans="2:10" ht="15.95" customHeight="1" thickBot="1" x14ac:dyDescent="0.3">
      <c r="C7610" s="132"/>
      <c r="D7610" s="133"/>
      <c r="E7610" s="134"/>
      <c r="F7610" s="134"/>
      <c r="G7610" s="135" t="s">
        <v>389</v>
      </c>
      <c r="H7610" s="136"/>
      <c r="I7610" s="137">
        <f>I7609</f>
        <v>0</v>
      </c>
    </row>
    <row r="7611" spans="2:10" ht="15.95" customHeight="1" x14ac:dyDescent="0.25">
      <c r="C7611" s="158" t="s">
        <v>390</v>
      </c>
      <c r="D7611" s="159" t="s">
        <v>391</v>
      </c>
      <c r="E7611" s="160"/>
      <c r="F7611" s="160"/>
      <c r="G7611" s="161"/>
      <c r="H7611" s="162">
        <f>IF(AND(D7611&lt;&gt;"",F7611&lt;&gt;""),IF(C7611="",IF(F7611="OH",VLOOKUP(D7611,[1]UPAH!$B$3:$G$32,7,0),VLOOKUP(D7611,[1]BAHAN!$A$2:$D$3,4,0)),0),0)</f>
        <v>0</v>
      </c>
      <c r="I7611" s="126">
        <f>SUM(I7600:I7610)/2</f>
        <v>74925</v>
      </c>
    </row>
    <row r="7612" spans="2:10" ht="15.95" customHeight="1" thickBot="1" x14ac:dyDescent="0.3">
      <c r="C7612" s="147" t="s">
        <v>392</v>
      </c>
      <c r="D7612" s="148" t="s">
        <v>393</v>
      </c>
      <c r="E7612" s="149"/>
      <c r="F7612" s="149"/>
      <c r="G7612" s="164">
        <v>0.1</v>
      </c>
      <c r="H7612" s="151"/>
      <c r="I7612" s="146">
        <f>G7612*I7611</f>
        <v>7492.5</v>
      </c>
    </row>
    <row r="7613" spans="2:10" ht="15.95" customHeight="1" thickBot="1" x14ac:dyDescent="0.3">
      <c r="C7613" s="111" t="s">
        <v>394</v>
      </c>
      <c r="D7613" s="112" t="s">
        <v>395</v>
      </c>
      <c r="E7613" s="134"/>
      <c r="F7613" s="134"/>
      <c r="G7613" s="156"/>
      <c r="H7613" s="136">
        <f>IF(AND(D7613&lt;&gt;"",F7613&lt;&gt;""),IF(C7613="",IF(F7613="OH",VLOOKUP(D7613,[1]UPAH!$B$3:$G$32,7,0),VLOOKUP(D7613,[1]BAHAN!$A$2:$D$3,4,0)),0),0)</f>
        <v>0</v>
      </c>
      <c r="I7613" s="137">
        <f>ROUNDDOWN(I7611+I7612,0)</f>
        <v>82417</v>
      </c>
    </row>
    <row r="7614" spans="2:10" ht="15.95" customHeight="1" x14ac:dyDescent="0.25">
      <c r="C7614" s="109"/>
      <c r="D7614" s="109"/>
      <c r="G7614" s="157"/>
      <c r="H7614" s="166"/>
      <c r="I7614" s="110"/>
    </row>
    <row r="7615" spans="2:10" ht="15.95" customHeight="1" thickBot="1" x14ac:dyDescent="0.3">
      <c r="B7615" s="247" t="s">
        <v>1584</v>
      </c>
      <c r="C7615" s="104" t="s">
        <v>1585</v>
      </c>
      <c r="G7615" s="157"/>
      <c r="J7615" s="110">
        <f>I7631</f>
        <v>110331</v>
      </c>
    </row>
    <row r="7616" spans="2:10" ht="15.95" customHeight="1" thickBot="1" x14ac:dyDescent="0.3">
      <c r="C7616" s="111" t="s">
        <v>328</v>
      </c>
      <c r="D7616" s="112" t="s">
        <v>359</v>
      </c>
      <c r="E7616" s="113" t="s">
        <v>360</v>
      </c>
      <c r="F7616" s="113" t="s">
        <v>330</v>
      </c>
      <c r="G7616" s="114" t="s">
        <v>361</v>
      </c>
      <c r="H7616" s="112" t="s">
        <v>362</v>
      </c>
      <c r="I7616" s="115" t="s">
        <v>363</v>
      </c>
    </row>
    <row r="7617" spans="3:9" ht="15.95" customHeight="1" x14ac:dyDescent="0.25">
      <c r="C7617" s="158" t="s">
        <v>364</v>
      </c>
      <c r="D7617" s="159" t="s">
        <v>365</v>
      </c>
      <c r="E7617" s="160"/>
      <c r="F7617" s="160"/>
      <c r="G7617" s="161"/>
      <c r="H7617" s="162"/>
      <c r="I7617" s="163"/>
    </row>
    <row r="7618" spans="3:9" ht="15.95" customHeight="1" x14ac:dyDescent="0.25">
      <c r="C7618" s="122"/>
      <c r="D7618" s="117" t="s">
        <v>366</v>
      </c>
      <c r="E7618" s="123" t="s">
        <v>367</v>
      </c>
      <c r="F7618" s="239" t="s">
        <v>368</v>
      </c>
      <c r="G7618" s="242">
        <v>0.01</v>
      </c>
      <c r="H7618" s="243">
        <f>VLOOKUP(D7618,Upah,8,FALSE)</f>
        <v>125000</v>
      </c>
      <c r="I7618" s="126">
        <f>G7618*H7618</f>
        <v>1250</v>
      </c>
    </row>
    <row r="7619" spans="3:9" ht="15.95" customHeight="1" x14ac:dyDescent="0.25">
      <c r="C7619" s="122"/>
      <c r="D7619" s="117" t="s">
        <v>413</v>
      </c>
      <c r="E7619" s="123" t="s">
        <v>414</v>
      </c>
      <c r="F7619" s="239" t="s">
        <v>368</v>
      </c>
      <c r="G7619" s="242">
        <v>0.4</v>
      </c>
      <c r="H7619" s="243">
        <f>VLOOKUP(D7619,Upah,8,FALSE)</f>
        <v>150000</v>
      </c>
      <c r="I7619" s="126">
        <f>G7619*H7619</f>
        <v>60000</v>
      </c>
    </row>
    <row r="7620" spans="3:9" ht="15.95" customHeight="1" x14ac:dyDescent="0.25">
      <c r="C7620" s="122"/>
      <c r="D7620" s="117" t="s">
        <v>429</v>
      </c>
      <c r="E7620" s="123" t="s">
        <v>372</v>
      </c>
      <c r="F7620" s="239" t="s">
        <v>368</v>
      </c>
      <c r="G7620" s="242">
        <v>0.04</v>
      </c>
      <c r="H7620" s="243">
        <f>VLOOKUP(D7620,Upah,8,FALSE)</f>
        <v>165000</v>
      </c>
      <c r="I7620" s="126">
        <f>G7620*H7620</f>
        <v>6600</v>
      </c>
    </row>
    <row r="7621" spans="3:9" ht="15.95" customHeight="1" thickBot="1" x14ac:dyDescent="0.3">
      <c r="C7621" s="122"/>
      <c r="D7621" s="117" t="s">
        <v>373</v>
      </c>
      <c r="E7621" s="123" t="s">
        <v>374</v>
      </c>
      <c r="F7621" s="239" t="s">
        <v>368</v>
      </c>
      <c r="G7621" s="242">
        <v>5.0000000000000001E-3</v>
      </c>
      <c r="H7621" s="243">
        <f>VLOOKUP(D7621,Upah,8,FALSE)</f>
        <v>170000</v>
      </c>
      <c r="I7621" s="126">
        <f>G7621*H7621</f>
        <v>850</v>
      </c>
    </row>
    <row r="7622" spans="3:9" ht="15.95" customHeight="1" thickBot="1" x14ac:dyDescent="0.3">
      <c r="C7622" s="132"/>
      <c r="D7622" s="133"/>
      <c r="E7622" s="134"/>
      <c r="F7622" s="134"/>
      <c r="G7622" s="135" t="s">
        <v>375</v>
      </c>
      <c r="H7622" s="136"/>
      <c r="I7622" s="137">
        <f>SUM(I7618:I7621)</f>
        <v>68700</v>
      </c>
    </row>
    <row r="7623" spans="3:9" ht="15.95" customHeight="1" x14ac:dyDescent="0.25">
      <c r="C7623" s="116" t="s">
        <v>376</v>
      </c>
      <c r="D7623" s="117" t="s">
        <v>377</v>
      </c>
      <c r="E7623" s="118"/>
      <c r="F7623" s="118"/>
      <c r="G7623" s="165"/>
      <c r="H7623" s="144"/>
      <c r="I7623" s="126"/>
    </row>
    <row r="7624" spans="3:9" ht="15.95" customHeight="1" x14ac:dyDescent="0.25">
      <c r="C7624" s="122"/>
      <c r="D7624" s="117" t="s">
        <v>1586</v>
      </c>
      <c r="E7624" s="118"/>
      <c r="F7624" s="239" t="s">
        <v>75</v>
      </c>
      <c r="G7624" s="242">
        <v>1</v>
      </c>
      <c r="H7624" s="144">
        <f>VLOOKUP(D7624,Bahan,6,FALSE)</f>
        <v>31500</v>
      </c>
      <c r="I7624" s="126">
        <f>G7624*H7624</f>
        <v>31500</v>
      </c>
    </row>
    <row r="7625" spans="3:9" ht="15.95" customHeight="1" thickBot="1" x14ac:dyDescent="0.3">
      <c r="C7625" s="122"/>
      <c r="D7625" s="117" t="s">
        <v>1587</v>
      </c>
      <c r="E7625" s="118"/>
      <c r="F7625" s="239" t="s">
        <v>603</v>
      </c>
      <c r="G7625" s="242">
        <v>2.5000000000000001E-2</v>
      </c>
      <c r="H7625" s="144">
        <f>VLOOKUP(D7625,Bahan,6,FALSE)</f>
        <v>4060</v>
      </c>
      <c r="I7625" s="126">
        <f>G7625*H7625</f>
        <v>101.5</v>
      </c>
    </row>
    <row r="7626" spans="3:9" ht="15.95" customHeight="1" thickBot="1" x14ac:dyDescent="0.3">
      <c r="C7626" s="132"/>
      <c r="D7626" s="133"/>
      <c r="E7626" s="134"/>
      <c r="F7626" s="134"/>
      <c r="G7626" s="135" t="s">
        <v>386</v>
      </c>
      <c r="H7626" s="136"/>
      <c r="I7626" s="137">
        <f>SUM(I7624:I7625)</f>
        <v>31601.5</v>
      </c>
    </row>
    <row r="7627" spans="3:9" ht="15.95" customHeight="1" thickBot="1" x14ac:dyDescent="0.3">
      <c r="C7627" s="116" t="s">
        <v>387</v>
      </c>
      <c r="D7627" s="117" t="s">
        <v>388</v>
      </c>
      <c r="E7627" s="118"/>
      <c r="F7627" s="118"/>
      <c r="G7627" s="165"/>
      <c r="H7627" s="144">
        <f>IF(AND(D7627&lt;&gt;"",F7627&lt;&gt;""),IF(C7627="",IF(F7627="OH",VLOOKUP(D7627,[1]UPAH!$B$3:$G$32,7,0),VLOOKUP(D7627,[1]BAHAN!$A$2:$D$3,4,0)),0),0)</f>
        <v>0</v>
      </c>
      <c r="I7627" s="126">
        <f>G7627*H7627</f>
        <v>0</v>
      </c>
    </row>
    <row r="7628" spans="3:9" ht="15.95" customHeight="1" thickBot="1" x14ac:dyDescent="0.3">
      <c r="C7628" s="132"/>
      <c r="D7628" s="133"/>
      <c r="E7628" s="134"/>
      <c r="F7628" s="134"/>
      <c r="G7628" s="135" t="s">
        <v>389</v>
      </c>
      <c r="H7628" s="136"/>
      <c r="I7628" s="137">
        <f>I7627</f>
        <v>0</v>
      </c>
    </row>
    <row r="7629" spans="3:9" ht="15.95" customHeight="1" x14ac:dyDescent="0.25">
      <c r="C7629" s="158" t="s">
        <v>390</v>
      </c>
      <c r="D7629" s="159" t="s">
        <v>391</v>
      </c>
      <c r="E7629" s="160"/>
      <c r="F7629" s="160"/>
      <c r="G7629" s="161"/>
      <c r="H7629" s="162">
        <f>IF(AND(D7629&lt;&gt;"",F7629&lt;&gt;""),IF(C7629="",IF(F7629="OH",VLOOKUP(D7629,[1]UPAH!$B$3:$G$32,7,0),VLOOKUP(D7629,[1]BAHAN!$A$2:$D$3,4,0)),0),0)</f>
        <v>0</v>
      </c>
      <c r="I7629" s="126">
        <f>SUM(I7618:I7628)/2</f>
        <v>100301.5</v>
      </c>
    </row>
    <row r="7630" spans="3:9" ht="15.95" customHeight="1" thickBot="1" x14ac:dyDescent="0.3">
      <c r="C7630" s="147" t="s">
        <v>392</v>
      </c>
      <c r="D7630" s="148" t="s">
        <v>393</v>
      </c>
      <c r="E7630" s="149"/>
      <c r="F7630" s="149"/>
      <c r="G7630" s="164">
        <v>0.1</v>
      </c>
      <c r="H7630" s="151"/>
      <c r="I7630" s="146">
        <f>G7630*I7629</f>
        <v>10030.150000000001</v>
      </c>
    </row>
    <row r="7631" spans="3:9" ht="15.95" customHeight="1" thickBot="1" x14ac:dyDescent="0.3">
      <c r="C7631" s="111" t="s">
        <v>394</v>
      </c>
      <c r="D7631" s="112" t="s">
        <v>395</v>
      </c>
      <c r="E7631" s="134"/>
      <c r="F7631" s="134"/>
      <c r="G7631" s="156"/>
      <c r="H7631" s="136">
        <f>IF(AND(D7631&lt;&gt;"",F7631&lt;&gt;""),IF(C7631="",IF(F7631="OH",VLOOKUP(D7631,[1]UPAH!$B$3:$G$32,7,0),VLOOKUP(D7631,[1]BAHAN!$A$2:$D$3,4,0)),0),0)</f>
        <v>0</v>
      </c>
      <c r="I7631" s="137">
        <f>ROUNDDOWN(I7629+I7630,0)</f>
        <v>110331</v>
      </c>
    </row>
    <row r="7632" spans="3:9" ht="15.95" customHeight="1" x14ac:dyDescent="0.25">
      <c r="C7632" s="109"/>
      <c r="D7632" s="109"/>
      <c r="G7632" s="157"/>
    </row>
    <row r="7633" spans="2:10" ht="15.95" customHeight="1" thickBot="1" x14ac:dyDescent="0.3">
      <c r="B7633" s="109" t="s">
        <v>1588</v>
      </c>
      <c r="C7633" s="104" t="s">
        <v>1589</v>
      </c>
      <c r="G7633" s="157"/>
      <c r="J7633" s="110">
        <f>I7649</f>
        <v>85981</v>
      </c>
    </row>
    <row r="7634" spans="2:10" ht="15.95" customHeight="1" thickBot="1" x14ac:dyDescent="0.3">
      <c r="C7634" s="111" t="s">
        <v>328</v>
      </c>
      <c r="D7634" s="112" t="s">
        <v>359</v>
      </c>
      <c r="E7634" s="113" t="s">
        <v>360</v>
      </c>
      <c r="F7634" s="113" t="s">
        <v>330</v>
      </c>
      <c r="G7634" s="114" t="s">
        <v>361</v>
      </c>
      <c r="H7634" s="112" t="s">
        <v>362</v>
      </c>
      <c r="I7634" s="115" t="s">
        <v>363</v>
      </c>
    </row>
    <row r="7635" spans="2:10" ht="15.95" customHeight="1" x14ac:dyDescent="0.25">
      <c r="C7635" s="158" t="s">
        <v>364</v>
      </c>
      <c r="D7635" s="159" t="s">
        <v>365</v>
      </c>
      <c r="E7635" s="160"/>
      <c r="F7635" s="160"/>
      <c r="G7635" s="161"/>
      <c r="H7635" s="162"/>
      <c r="I7635" s="163"/>
    </row>
    <row r="7636" spans="2:10" ht="15.95" customHeight="1" x14ac:dyDescent="0.25">
      <c r="C7636" s="122"/>
      <c r="D7636" s="117" t="s">
        <v>366</v>
      </c>
      <c r="E7636" s="123" t="s">
        <v>367</v>
      </c>
      <c r="F7636" s="239" t="s">
        <v>368</v>
      </c>
      <c r="G7636" s="242">
        <v>5.3999999999999999E-2</v>
      </c>
      <c r="H7636" s="243">
        <f>VLOOKUP(D7636,Upah,8,FALSE)</f>
        <v>125000</v>
      </c>
      <c r="I7636" s="126">
        <f>G7636*H7636</f>
        <v>6750</v>
      </c>
    </row>
    <row r="7637" spans="2:10" ht="15.95" customHeight="1" x14ac:dyDescent="0.25">
      <c r="C7637" s="122"/>
      <c r="D7637" s="117" t="s">
        <v>413</v>
      </c>
      <c r="E7637" s="123" t="s">
        <v>414</v>
      </c>
      <c r="F7637" s="239" t="s">
        <v>368</v>
      </c>
      <c r="G7637" s="242">
        <v>0.09</v>
      </c>
      <c r="H7637" s="243">
        <f>VLOOKUP(D7637,Upah,8,FALSE)</f>
        <v>150000</v>
      </c>
      <c r="I7637" s="126">
        <f>G7637*H7637</f>
        <v>13500</v>
      </c>
    </row>
    <row r="7638" spans="2:10" ht="15.95" customHeight="1" x14ac:dyDescent="0.25">
      <c r="C7638" s="122"/>
      <c r="D7638" s="117" t="s">
        <v>429</v>
      </c>
      <c r="E7638" s="123" t="s">
        <v>372</v>
      </c>
      <c r="F7638" s="239" t="s">
        <v>368</v>
      </c>
      <c r="G7638" s="242">
        <v>8.9999999999999993E-3</v>
      </c>
      <c r="H7638" s="243">
        <f>VLOOKUP(D7638,Upah,8,FALSE)</f>
        <v>165000</v>
      </c>
      <c r="I7638" s="126">
        <f>G7638*H7638</f>
        <v>1485</v>
      </c>
    </row>
    <row r="7639" spans="2:10" ht="15.95" customHeight="1" thickBot="1" x14ac:dyDescent="0.3">
      <c r="C7639" s="122"/>
      <c r="D7639" s="117" t="s">
        <v>373</v>
      </c>
      <c r="E7639" s="123" t="s">
        <v>374</v>
      </c>
      <c r="F7639" s="239" t="s">
        <v>368</v>
      </c>
      <c r="G7639" s="242">
        <v>2.7E-2</v>
      </c>
      <c r="H7639" s="243">
        <f>VLOOKUP(D7639,Upah,8,FALSE)</f>
        <v>170000</v>
      </c>
      <c r="I7639" s="126">
        <f>G7639*H7639</f>
        <v>4590</v>
      </c>
    </row>
    <row r="7640" spans="2:10" ht="15.95" customHeight="1" thickBot="1" x14ac:dyDescent="0.3">
      <c r="C7640" s="132"/>
      <c r="D7640" s="133"/>
      <c r="E7640" s="134"/>
      <c r="F7640" s="134"/>
      <c r="G7640" s="135" t="s">
        <v>375</v>
      </c>
      <c r="H7640" s="136"/>
      <c r="I7640" s="137">
        <f>SUM(I7636:I7639)</f>
        <v>26325</v>
      </c>
    </row>
    <row r="7641" spans="2:10" ht="15.95" customHeight="1" x14ac:dyDescent="0.25">
      <c r="C7641" s="116" t="s">
        <v>376</v>
      </c>
      <c r="D7641" s="117" t="s">
        <v>377</v>
      </c>
      <c r="E7641" s="118"/>
      <c r="F7641" s="118"/>
      <c r="G7641" s="165"/>
      <c r="H7641" s="144"/>
      <c r="I7641" s="126"/>
    </row>
    <row r="7642" spans="2:10" ht="15.95" customHeight="1" x14ac:dyDescent="0.25">
      <c r="C7642" s="122"/>
      <c r="D7642" s="117" t="s">
        <v>1590</v>
      </c>
      <c r="E7642" s="118"/>
      <c r="F7642" s="239" t="s">
        <v>75</v>
      </c>
      <c r="G7642" s="242">
        <v>1.2</v>
      </c>
      <c r="H7642" s="144">
        <f>VLOOKUP(D7642,Bahan,6,FALSE)</f>
        <v>32000</v>
      </c>
      <c r="I7642" s="126">
        <f>G7642*H7642</f>
        <v>38400</v>
      </c>
    </row>
    <row r="7643" spans="2:10" ht="15.95" customHeight="1" thickBot="1" x14ac:dyDescent="0.3">
      <c r="C7643" s="122"/>
      <c r="D7643" s="117" t="s">
        <v>1535</v>
      </c>
      <c r="E7643" s="118"/>
      <c r="F7643" s="239" t="s">
        <v>1147</v>
      </c>
      <c r="G7643" s="242">
        <v>35</v>
      </c>
      <c r="H7643" s="144">
        <f>I7642/100</f>
        <v>384</v>
      </c>
      <c r="I7643" s="126">
        <f>G7643*H7643</f>
        <v>13440</v>
      </c>
    </row>
    <row r="7644" spans="2:10" ht="15.95" customHeight="1" thickBot="1" x14ac:dyDescent="0.3">
      <c r="C7644" s="132"/>
      <c r="D7644" s="133"/>
      <c r="E7644" s="134"/>
      <c r="F7644" s="134"/>
      <c r="G7644" s="135" t="s">
        <v>386</v>
      </c>
      <c r="H7644" s="136"/>
      <c r="I7644" s="137">
        <f>SUM(I7642:I7643)</f>
        <v>51840</v>
      </c>
    </row>
    <row r="7645" spans="2:10" ht="15.95" customHeight="1" thickBot="1" x14ac:dyDescent="0.3">
      <c r="C7645" s="116" t="s">
        <v>387</v>
      </c>
      <c r="D7645" s="117" t="s">
        <v>388</v>
      </c>
      <c r="E7645" s="118"/>
      <c r="F7645" s="118"/>
      <c r="G7645" s="165"/>
      <c r="H7645" s="144">
        <f>IF(AND(D7645&lt;&gt;"",F7645&lt;&gt;""),IF(C7645="",IF(F7645="OH",VLOOKUP(D7645,[1]UPAH!$B$3:$G$32,7,0),VLOOKUP(D7645,[1]BAHAN!$A$2:$D$3,4,0)),0),0)</f>
        <v>0</v>
      </c>
      <c r="I7645" s="126">
        <f>G7645*H7645</f>
        <v>0</v>
      </c>
    </row>
    <row r="7646" spans="2:10" ht="15.95" customHeight="1" thickBot="1" x14ac:dyDescent="0.3">
      <c r="C7646" s="132"/>
      <c r="D7646" s="133"/>
      <c r="E7646" s="134"/>
      <c r="F7646" s="134"/>
      <c r="G7646" s="135" t="s">
        <v>389</v>
      </c>
      <c r="H7646" s="136"/>
      <c r="I7646" s="137">
        <f>I7645</f>
        <v>0</v>
      </c>
    </row>
    <row r="7647" spans="2:10" ht="15.95" customHeight="1" x14ac:dyDescent="0.25">
      <c r="C7647" s="158" t="s">
        <v>390</v>
      </c>
      <c r="D7647" s="159" t="s">
        <v>391</v>
      </c>
      <c r="E7647" s="160"/>
      <c r="F7647" s="160"/>
      <c r="G7647" s="161"/>
      <c r="H7647" s="162">
        <f>IF(AND(D7647&lt;&gt;"",F7647&lt;&gt;""),IF(C7647="",IF(F7647="OH",VLOOKUP(D7647,[1]UPAH!$B$3:$G$32,7,0),VLOOKUP(D7647,[1]BAHAN!$A$2:$D$3,4,0)),0),0)</f>
        <v>0</v>
      </c>
      <c r="I7647" s="126">
        <f>SUM(I7636:I7646)/2</f>
        <v>78165</v>
      </c>
    </row>
    <row r="7648" spans="2:10" ht="15.95" customHeight="1" thickBot="1" x14ac:dyDescent="0.3">
      <c r="C7648" s="147" t="s">
        <v>392</v>
      </c>
      <c r="D7648" s="148" t="s">
        <v>393</v>
      </c>
      <c r="E7648" s="149"/>
      <c r="F7648" s="149"/>
      <c r="G7648" s="164">
        <v>0.1</v>
      </c>
      <c r="H7648" s="151"/>
      <c r="I7648" s="146">
        <f>G7648*I7647</f>
        <v>7816.5</v>
      </c>
    </row>
    <row r="7649" spans="2:10" ht="15.95" customHeight="1" thickBot="1" x14ac:dyDescent="0.3">
      <c r="C7649" s="111" t="s">
        <v>394</v>
      </c>
      <c r="D7649" s="112" t="s">
        <v>395</v>
      </c>
      <c r="E7649" s="134"/>
      <c r="F7649" s="134"/>
      <c r="G7649" s="156"/>
      <c r="H7649" s="136">
        <f>IF(AND(D7649&lt;&gt;"",F7649&lt;&gt;""),IF(C7649="",IF(F7649="OH",VLOOKUP(D7649,[1]UPAH!$B$3:$G$32,7,0),VLOOKUP(D7649,[1]BAHAN!$A$2:$D$3,4,0)),0),0)</f>
        <v>0</v>
      </c>
      <c r="I7649" s="137">
        <f>ROUNDDOWN(I7647+I7648,0)</f>
        <v>85981</v>
      </c>
    </row>
    <row r="7650" spans="2:10" ht="15.95" customHeight="1" x14ac:dyDescent="0.25">
      <c r="C7650" s="109"/>
      <c r="D7650" s="109"/>
      <c r="G7650" s="157"/>
    </row>
    <row r="7651" spans="2:10" ht="15.95" customHeight="1" thickBot="1" x14ac:dyDescent="0.3">
      <c r="B7651" s="109" t="s">
        <v>1591</v>
      </c>
      <c r="C7651" s="104" t="s">
        <v>1592</v>
      </c>
      <c r="G7651" s="157"/>
      <c r="J7651" s="110">
        <f>I7667</f>
        <v>28957</v>
      </c>
    </row>
    <row r="7652" spans="2:10" ht="15.95" customHeight="1" thickBot="1" x14ac:dyDescent="0.3">
      <c r="C7652" s="111" t="s">
        <v>328</v>
      </c>
      <c r="D7652" s="112" t="s">
        <v>359</v>
      </c>
      <c r="E7652" s="113" t="s">
        <v>360</v>
      </c>
      <c r="F7652" s="113" t="s">
        <v>330</v>
      </c>
      <c r="G7652" s="114" t="s">
        <v>361</v>
      </c>
      <c r="H7652" s="112" t="s">
        <v>362</v>
      </c>
      <c r="I7652" s="115" t="s">
        <v>363</v>
      </c>
    </row>
    <row r="7653" spans="2:10" ht="15.95" customHeight="1" x14ac:dyDescent="0.25">
      <c r="C7653" s="158" t="s">
        <v>364</v>
      </c>
      <c r="D7653" s="159" t="s">
        <v>365</v>
      </c>
      <c r="E7653" s="160"/>
      <c r="F7653" s="160"/>
      <c r="G7653" s="161"/>
      <c r="H7653" s="162"/>
      <c r="I7653" s="163"/>
    </row>
    <row r="7654" spans="2:10" ht="15.95" customHeight="1" x14ac:dyDescent="0.25">
      <c r="C7654" s="122"/>
      <c r="D7654" s="117" t="s">
        <v>366</v>
      </c>
      <c r="E7654" s="123" t="s">
        <v>367</v>
      </c>
      <c r="F7654" s="239" t="s">
        <v>368</v>
      </c>
      <c r="G7654" s="242">
        <v>5.3999999999999999E-2</v>
      </c>
      <c r="H7654" s="243">
        <f>VLOOKUP(D7654,Upah,8,FALSE)</f>
        <v>125000</v>
      </c>
      <c r="I7654" s="126">
        <f>G7654*H7654</f>
        <v>6750</v>
      </c>
    </row>
    <row r="7655" spans="2:10" ht="15.95" customHeight="1" x14ac:dyDescent="0.25">
      <c r="C7655" s="122"/>
      <c r="D7655" s="117" t="s">
        <v>413</v>
      </c>
      <c r="E7655" s="123" t="s">
        <v>414</v>
      </c>
      <c r="F7655" s="239" t="s">
        <v>368</v>
      </c>
      <c r="G7655" s="242">
        <v>0.09</v>
      </c>
      <c r="H7655" s="243">
        <f>VLOOKUP(D7655,Upah,8,FALSE)</f>
        <v>150000</v>
      </c>
      <c r="I7655" s="126">
        <f>G7655*H7655</f>
        <v>13500</v>
      </c>
    </row>
    <row r="7656" spans="2:10" ht="15.95" customHeight="1" x14ac:dyDescent="0.25">
      <c r="C7656" s="122"/>
      <c r="D7656" s="117" t="s">
        <v>429</v>
      </c>
      <c r="E7656" s="123" t="s">
        <v>372</v>
      </c>
      <c r="F7656" s="239" t="s">
        <v>368</v>
      </c>
      <c r="G7656" s="242">
        <v>8.9999999999999993E-3</v>
      </c>
      <c r="H7656" s="243">
        <f>VLOOKUP(D7656,Upah,8,FALSE)</f>
        <v>165000</v>
      </c>
      <c r="I7656" s="126">
        <f>G7656*H7656</f>
        <v>1485</v>
      </c>
    </row>
    <row r="7657" spans="2:10" ht="15.95" customHeight="1" thickBot="1" x14ac:dyDescent="0.3">
      <c r="C7657" s="122"/>
      <c r="D7657" s="117" t="s">
        <v>373</v>
      </c>
      <c r="E7657" s="123" t="s">
        <v>374</v>
      </c>
      <c r="F7657" s="239" t="s">
        <v>368</v>
      </c>
      <c r="G7657" s="242">
        <v>2.7E-2</v>
      </c>
      <c r="H7657" s="243">
        <f>VLOOKUP(D7657,Upah,8,FALSE)</f>
        <v>170000</v>
      </c>
      <c r="I7657" s="126">
        <f>G7657*H7657</f>
        <v>4590</v>
      </c>
    </row>
    <row r="7658" spans="2:10" ht="15.95" customHeight="1" thickBot="1" x14ac:dyDescent="0.3">
      <c r="C7658" s="132"/>
      <c r="D7658" s="133"/>
      <c r="E7658" s="134"/>
      <c r="F7658" s="134"/>
      <c r="G7658" s="135" t="s">
        <v>375</v>
      </c>
      <c r="H7658" s="136"/>
      <c r="I7658" s="137">
        <f>SUM(I7654:I7657)</f>
        <v>26325</v>
      </c>
    </row>
    <row r="7659" spans="2:10" ht="15.95" customHeight="1" x14ac:dyDescent="0.25">
      <c r="C7659" s="116" t="s">
        <v>376</v>
      </c>
      <c r="D7659" s="117" t="s">
        <v>377</v>
      </c>
      <c r="E7659" s="118"/>
      <c r="F7659" s="118"/>
      <c r="G7659" s="165"/>
      <c r="H7659" s="144"/>
      <c r="I7659" s="126"/>
    </row>
    <row r="7660" spans="2:10" ht="15.95" customHeight="1" x14ac:dyDescent="0.25">
      <c r="C7660" s="122"/>
      <c r="D7660" s="117" t="s">
        <v>1593</v>
      </c>
      <c r="E7660" s="118"/>
      <c r="F7660" s="239" t="s">
        <v>75</v>
      </c>
      <c r="G7660" s="242">
        <v>1.2</v>
      </c>
      <c r="H7660" s="144"/>
      <c r="I7660" s="126">
        <f>G7660*H7660</f>
        <v>0</v>
      </c>
    </row>
    <row r="7661" spans="2:10" ht="15.95" customHeight="1" thickBot="1" x14ac:dyDescent="0.3">
      <c r="C7661" s="122"/>
      <c r="D7661" s="117" t="s">
        <v>1535</v>
      </c>
      <c r="E7661" s="118"/>
      <c r="F7661" s="239" t="s">
        <v>1147</v>
      </c>
      <c r="G7661" s="242">
        <v>35</v>
      </c>
      <c r="H7661" s="144">
        <f>I7660/100</f>
        <v>0</v>
      </c>
      <c r="I7661" s="126">
        <f>G7661*H7661</f>
        <v>0</v>
      </c>
    </row>
    <row r="7662" spans="2:10" ht="15.95" customHeight="1" thickBot="1" x14ac:dyDescent="0.3">
      <c r="C7662" s="132"/>
      <c r="D7662" s="133"/>
      <c r="E7662" s="134"/>
      <c r="F7662" s="134"/>
      <c r="G7662" s="135" t="s">
        <v>386</v>
      </c>
      <c r="H7662" s="136"/>
      <c r="I7662" s="137">
        <f>SUM(I7660:I7661)</f>
        <v>0</v>
      </c>
    </row>
    <row r="7663" spans="2:10" ht="15.95" customHeight="1" thickBot="1" x14ac:dyDescent="0.3">
      <c r="C7663" s="116" t="s">
        <v>387</v>
      </c>
      <c r="D7663" s="117" t="s">
        <v>388</v>
      </c>
      <c r="E7663" s="118"/>
      <c r="F7663" s="118"/>
      <c r="G7663" s="165"/>
      <c r="H7663" s="144">
        <f>IF(AND(D7663&lt;&gt;"",F7663&lt;&gt;""),IF(C7663="",IF(F7663="OH",VLOOKUP(D7663,[1]UPAH!$B$3:$G$32,7,0),VLOOKUP(D7663,[1]BAHAN!$A$2:$D$3,4,0)),0),0)</f>
        <v>0</v>
      </c>
      <c r="I7663" s="126">
        <f>G7663*H7663</f>
        <v>0</v>
      </c>
    </row>
    <row r="7664" spans="2:10" ht="15.95" customHeight="1" thickBot="1" x14ac:dyDescent="0.3">
      <c r="C7664" s="132"/>
      <c r="D7664" s="133"/>
      <c r="E7664" s="134"/>
      <c r="F7664" s="134"/>
      <c r="G7664" s="135" t="s">
        <v>389</v>
      </c>
      <c r="H7664" s="136"/>
      <c r="I7664" s="137">
        <f>I7663</f>
        <v>0</v>
      </c>
    </row>
    <row r="7665" spans="2:10" ht="15.95" customHeight="1" x14ac:dyDescent="0.25">
      <c r="C7665" s="158" t="s">
        <v>390</v>
      </c>
      <c r="D7665" s="159" t="s">
        <v>391</v>
      </c>
      <c r="E7665" s="160"/>
      <c r="F7665" s="160"/>
      <c r="G7665" s="161"/>
      <c r="H7665" s="162">
        <f>IF(AND(D7665&lt;&gt;"",F7665&lt;&gt;""),IF(C7665="",IF(F7665="OH",VLOOKUP(D7665,[1]UPAH!$B$3:$G$32,7,0),VLOOKUP(D7665,[1]BAHAN!$A$2:$D$3,4,0)),0),0)</f>
        <v>0</v>
      </c>
      <c r="I7665" s="126">
        <f>SUM(I7654:I7664)/2</f>
        <v>26325</v>
      </c>
    </row>
    <row r="7666" spans="2:10" ht="15.95" customHeight="1" thickBot="1" x14ac:dyDescent="0.3">
      <c r="C7666" s="147" t="s">
        <v>392</v>
      </c>
      <c r="D7666" s="148" t="s">
        <v>393</v>
      </c>
      <c r="E7666" s="149"/>
      <c r="F7666" s="149"/>
      <c r="G7666" s="164">
        <v>0.1</v>
      </c>
      <c r="H7666" s="151"/>
      <c r="I7666" s="146">
        <f>G7666*I7665</f>
        <v>2632.5</v>
      </c>
    </row>
    <row r="7667" spans="2:10" ht="15.95" customHeight="1" thickBot="1" x14ac:dyDescent="0.3">
      <c r="C7667" s="111" t="s">
        <v>394</v>
      </c>
      <c r="D7667" s="112" t="s">
        <v>395</v>
      </c>
      <c r="E7667" s="134"/>
      <c r="F7667" s="134"/>
      <c r="G7667" s="156"/>
      <c r="H7667" s="136">
        <f>IF(AND(D7667&lt;&gt;"",F7667&lt;&gt;""),IF(C7667="",IF(F7667="OH",VLOOKUP(D7667,[1]UPAH!$B$3:$G$32,7,0),VLOOKUP(D7667,[1]BAHAN!$A$2:$D$3,4,0)),0),0)</f>
        <v>0</v>
      </c>
      <c r="I7667" s="137">
        <f>ROUNDDOWN(I7665+I7666,0)</f>
        <v>28957</v>
      </c>
    </row>
    <row r="7668" spans="2:10" ht="15.95" customHeight="1" x14ac:dyDescent="0.25">
      <c r="C7668" s="109"/>
      <c r="D7668" s="109"/>
      <c r="G7668" s="157"/>
      <c r="H7668" s="166"/>
      <c r="I7668" s="110"/>
    </row>
    <row r="7669" spans="2:10" ht="15.95" customHeight="1" thickBot="1" x14ac:dyDescent="0.3">
      <c r="B7669" s="109" t="s">
        <v>1594</v>
      </c>
      <c r="C7669" s="104" t="s">
        <v>1595</v>
      </c>
      <c r="G7669" s="157"/>
      <c r="J7669" s="110">
        <f>I7685</f>
        <v>190153</v>
      </c>
    </row>
    <row r="7670" spans="2:10" ht="15.95" customHeight="1" thickBot="1" x14ac:dyDescent="0.3">
      <c r="C7670" s="111" t="s">
        <v>328</v>
      </c>
      <c r="D7670" s="112" t="s">
        <v>359</v>
      </c>
      <c r="E7670" s="113" t="s">
        <v>360</v>
      </c>
      <c r="F7670" s="113" t="s">
        <v>330</v>
      </c>
      <c r="G7670" s="114" t="s">
        <v>361</v>
      </c>
      <c r="H7670" s="112" t="s">
        <v>362</v>
      </c>
      <c r="I7670" s="115" t="s">
        <v>363</v>
      </c>
    </row>
    <row r="7671" spans="2:10" ht="15.95" customHeight="1" x14ac:dyDescent="0.25">
      <c r="C7671" s="158" t="s">
        <v>364</v>
      </c>
      <c r="D7671" s="159" t="s">
        <v>365</v>
      </c>
      <c r="E7671" s="160"/>
      <c r="F7671" s="160"/>
      <c r="G7671" s="161"/>
      <c r="H7671" s="162"/>
      <c r="I7671" s="163"/>
    </row>
    <row r="7672" spans="2:10" ht="15.95" customHeight="1" x14ac:dyDescent="0.25">
      <c r="C7672" s="122"/>
      <c r="D7672" s="117" t="s">
        <v>366</v>
      </c>
      <c r="E7672" s="123" t="s">
        <v>367</v>
      </c>
      <c r="F7672" s="239" t="s">
        <v>368</v>
      </c>
      <c r="G7672" s="242">
        <v>0.108</v>
      </c>
      <c r="H7672" s="243">
        <f>VLOOKUP(D7672,Upah,8,FALSE)</f>
        <v>125000</v>
      </c>
      <c r="I7672" s="126">
        <f>G7672*H7672</f>
        <v>13500</v>
      </c>
    </row>
    <row r="7673" spans="2:10" ht="15.95" customHeight="1" x14ac:dyDescent="0.25">
      <c r="C7673" s="122"/>
      <c r="D7673" s="117" t="s">
        <v>413</v>
      </c>
      <c r="E7673" s="123" t="s">
        <v>414</v>
      </c>
      <c r="F7673" s="239" t="s">
        <v>368</v>
      </c>
      <c r="G7673" s="242">
        <v>0.18</v>
      </c>
      <c r="H7673" s="243">
        <f>VLOOKUP(D7673,Upah,8,FALSE)</f>
        <v>150000</v>
      </c>
      <c r="I7673" s="126">
        <f>G7673*H7673</f>
        <v>27000</v>
      </c>
    </row>
    <row r="7674" spans="2:10" ht="15.95" customHeight="1" x14ac:dyDescent="0.25">
      <c r="C7674" s="122"/>
      <c r="D7674" s="117" t="s">
        <v>429</v>
      </c>
      <c r="E7674" s="123" t="s">
        <v>372</v>
      </c>
      <c r="F7674" s="239" t="s">
        <v>368</v>
      </c>
      <c r="G7674" s="242">
        <v>1.7999999999999999E-2</v>
      </c>
      <c r="H7674" s="243">
        <f>VLOOKUP(D7674,Upah,8,FALSE)</f>
        <v>165000</v>
      </c>
      <c r="I7674" s="126">
        <f>G7674*H7674</f>
        <v>2970</v>
      </c>
    </row>
    <row r="7675" spans="2:10" ht="15.95" customHeight="1" thickBot="1" x14ac:dyDescent="0.3">
      <c r="C7675" s="122"/>
      <c r="D7675" s="117" t="s">
        <v>373</v>
      </c>
      <c r="E7675" s="123" t="s">
        <v>374</v>
      </c>
      <c r="F7675" s="239" t="s">
        <v>368</v>
      </c>
      <c r="G7675" s="242">
        <v>5.0000000000000001E-3</v>
      </c>
      <c r="H7675" s="243">
        <f>VLOOKUP(D7675,Upah,8,FALSE)</f>
        <v>170000</v>
      </c>
      <c r="I7675" s="126">
        <f>G7675*H7675</f>
        <v>850</v>
      </c>
    </row>
    <row r="7676" spans="2:10" ht="15.95" customHeight="1" thickBot="1" x14ac:dyDescent="0.3">
      <c r="C7676" s="132"/>
      <c r="D7676" s="133"/>
      <c r="E7676" s="134"/>
      <c r="F7676" s="134"/>
      <c r="G7676" s="135" t="s">
        <v>375</v>
      </c>
      <c r="H7676" s="136"/>
      <c r="I7676" s="137">
        <f>SUM(I7672:I7675)</f>
        <v>44320</v>
      </c>
    </row>
    <row r="7677" spans="2:10" ht="15.95" customHeight="1" x14ac:dyDescent="0.25">
      <c r="C7677" s="116" t="s">
        <v>376</v>
      </c>
      <c r="D7677" s="117" t="s">
        <v>377</v>
      </c>
      <c r="E7677" s="118"/>
      <c r="F7677" s="118"/>
      <c r="G7677" s="165"/>
      <c r="H7677" s="144"/>
      <c r="I7677" s="126"/>
    </row>
    <row r="7678" spans="2:10" ht="15.95" customHeight="1" x14ac:dyDescent="0.25">
      <c r="C7678" s="122"/>
      <c r="D7678" s="117" t="s">
        <v>1596</v>
      </c>
      <c r="E7678" s="118"/>
      <c r="F7678" s="239" t="s">
        <v>75</v>
      </c>
      <c r="G7678" s="242">
        <v>1.2</v>
      </c>
      <c r="H7678" s="144">
        <f>VLOOKUP(D7678,Bahan,6,FALSE)</f>
        <v>79350</v>
      </c>
      <c r="I7678" s="126">
        <f>G7678*H7678</f>
        <v>95220</v>
      </c>
    </row>
    <row r="7679" spans="2:10" ht="15.95" customHeight="1" thickBot="1" x14ac:dyDescent="0.3">
      <c r="C7679" s="122"/>
      <c r="D7679" s="117" t="s">
        <v>1535</v>
      </c>
      <c r="E7679" s="118"/>
      <c r="F7679" s="239" t="s">
        <v>1147</v>
      </c>
      <c r="G7679" s="242">
        <v>35</v>
      </c>
      <c r="H7679" s="144">
        <f>I7678/100</f>
        <v>952.2</v>
      </c>
      <c r="I7679" s="126">
        <f>G7679*H7679</f>
        <v>33327</v>
      </c>
    </row>
    <row r="7680" spans="2:10" ht="15.95" customHeight="1" thickBot="1" x14ac:dyDescent="0.3">
      <c r="C7680" s="132"/>
      <c r="D7680" s="133"/>
      <c r="E7680" s="134"/>
      <c r="F7680" s="134"/>
      <c r="G7680" s="135" t="s">
        <v>386</v>
      </c>
      <c r="H7680" s="136"/>
      <c r="I7680" s="137">
        <f>SUM(I7678:I7679)</f>
        <v>128547</v>
      </c>
    </row>
    <row r="7681" spans="2:10" ht="15.95" customHeight="1" thickBot="1" x14ac:dyDescent="0.3">
      <c r="C7681" s="116" t="s">
        <v>387</v>
      </c>
      <c r="D7681" s="117" t="s">
        <v>388</v>
      </c>
      <c r="E7681" s="118"/>
      <c r="F7681" s="118"/>
      <c r="G7681" s="165"/>
      <c r="H7681" s="144">
        <f>IF(AND(D7681&lt;&gt;"",F7681&lt;&gt;""),IF(C7681="",IF(F7681="OH",VLOOKUP(D7681,[1]UPAH!$B$3:$G$32,7,0),VLOOKUP(D7681,[1]BAHAN!$A$2:$D$3,4,0)),0),0)</f>
        <v>0</v>
      </c>
      <c r="I7681" s="126">
        <f>G7681*H7681</f>
        <v>0</v>
      </c>
    </row>
    <row r="7682" spans="2:10" ht="15.95" customHeight="1" thickBot="1" x14ac:dyDescent="0.3">
      <c r="C7682" s="132"/>
      <c r="D7682" s="133"/>
      <c r="E7682" s="134"/>
      <c r="F7682" s="134"/>
      <c r="G7682" s="135" t="s">
        <v>389</v>
      </c>
      <c r="H7682" s="136"/>
      <c r="I7682" s="137">
        <f>I7681</f>
        <v>0</v>
      </c>
    </row>
    <row r="7683" spans="2:10" ht="15.95" customHeight="1" x14ac:dyDescent="0.25">
      <c r="C7683" s="158" t="s">
        <v>390</v>
      </c>
      <c r="D7683" s="159" t="s">
        <v>391</v>
      </c>
      <c r="E7683" s="160"/>
      <c r="F7683" s="160"/>
      <c r="G7683" s="161"/>
      <c r="H7683" s="162">
        <f>IF(AND(D7683&lt;&gt;"",F7683&lt;&gt;""),IF(C7683="",IF(F7683="OH",VLOOKUP(D7683,[1]UPAH!$B$3:$G$32,7,0),VLOOKUP(D7683,[1]BAHAN!$A$2:$D$3,4,0)),0),0)</f>
        <v>0</v>
      </c>
      <c r="I7683" s="126">
        <f>SUM(I7672:I7682)/2</f>
        <v>172867</v>
      </c>
    </row>
    <row r="7684" spans="2:10" ht="15.95" customHeight="1" thickBot="1" x14ac:dyDescent="0.3">
      <c r="C7684" s="147" t="s">
        <v>392</v>
      </c>
      <c r="D7684" s="148" t="s">
        <v>393</v>
      </c>
      <c r="E7684" s="149"/>
      <c r="F7684" s="149"/>
      <c r="G7684" s="164">
        <v>0.1</v>
      </c>
      <c r="H7684" s="151"/>
      <c r="I7684" s="146">
        <f>G7684*I7683</f>
        <v>17286.7</v>
      </c>
    </row>
    <row r="7685" spans="2:10" ht="15.95" customHeight="1" thickBot="1" x14ac:dyDescent="0.3">
      <c r="C7685" s="111" t="s">
        <v>394</v>
      </c>
      <c r="D7685" s="112" t="s">
        <v>395</v>
      </c>
      <c r="E7685" s="134"/>
      <c r="F7685" s="134"/>
      <c r="G7685" s="156"/>
      <c r="H7685" s="136">
        <f>IF(AND(D7685&lt;&gt;"",F7685&lt;&gt;""),IF(C7685="",IF(F7685="OH",VLOOKUP(D7685,[1]UPAH!$B$3:$G$32,7,0),VLOOKUP(D7685,[1]BAHAN!$A$2:$D$3,4,0)),0),0)</f>
        <v>0</v>
      </c>
      <c r="I7685" s="137">
        <f>ROUNDDOWN(I7683+I7684,0)</f>
        <v>190153</v>
      </c>
    </row>
    <row r="7686" spans="2:10" ht="15.95" customHeight="1" x14ac:dyDescent="0.25">
      <c r="C7686" s="109"/>
      <c r="D7686" s="109"/>
      <c r="G7686" s="157"/>
      <c r="H7686" s="166"/>
      <c r="I7686" s="110"/>
    </row>
    <row r="7687" spans="2:10" ht="15.95" customHeight="1" thickBot="1" x14ac:dyDescent="0.3">
      <c r="B7687" s="109" t="s">
        <v>1597</v>
      </c>
      <c r="C7687" s="104" t="s">
        <v>1598</v>
      </c>
      <c r="G7687" s="157"/>
      <c r="J7687" s="110">
        <f>I7703</f>
        <v>481277</v>
      </c>
    </row>
    <row r="7688" spans="2:10" ht="15.95" customHeight="1" thickBot="1" x14ac:dyDescent="0.3">
      <c r="C7688" s="111" t="s">
        <v>328</v>
      </c>
      <c r="D7688" s="112" t="s">
        <v>359</v>
      </c>
      <c r="E7688" s="113" t="s">
        <v>360</v>
      </c>
      <c r="F7688" s="113" t="s">
        <v>330</v>
      </c>
      <c r="G7688" s="114" t="s">
        <v>361</v>
      </c>
      <c r="H7688" s="112" t="s">
        <v>362</v>
      </c>
      <c r="I7688" s="115" t="s">
        <v>363</v>
      </c>
    </row>
    <row r="7689" spans="2:10" ht="15.95" customHeight="1" x14ac:dyDescent="0.25">
      <c r="C7689" s="158" t="s">
        <v>364</v>
      </c>
      <c r="D7689" s="159" t="s">
        <v>365</v>
      </c>
      <c r="E7689" s="160"/>
      <c r="F7689" s="160"/>
      <c r="G7689" s="161"/>
      <c r="H7689" s="162"/>
      <c r="I7689" s="163"/>
    </row>
    <row r="7690" spans="2:10" ht="15.95" customHeight="1" x14ac:dyDescent="0.25">
      <c r="C7690" s="122"/>
      <c r="D7690" s="117" t="s">
        <v>366</v>
      </c>
      <c r="E7690" s="123" t="s">
        <v>367</v>
      </c>
      <c r="F7690" s="239" t="s">
        <v>368</v>
      </c>
      <c r="G7690" s="242">
        <v>0.13500000000000001</v>
      </c>
      <c r="H7690" s="243">
        <f>VLOOKUP(D7690,Upah,8,FALSE)</f>
        <v>125000</v>
      </c>
      <c r="I7690" s="126">
        <f>G7690*H7690</f>
        <v>16875</v>
      </c>
    </row>
    <row r="7691" spans="2:10" ht="15.95" customHeight="1" x14ac:dyDescent="0.25">
      <c r="C7691" s="122"/>
      <c r="D7691" s="117" t="s">
        <v>413</v>
      </c>
      <c r="E7691" s="123" t="s">
        <v>414</v>
      </c>
      <c r="F7691" s="239" t="s">
        <v>368</v>
      </c>
      <c r="G7691" s="242">
        <v>0.22500000000000001</v>
      </c>
      <c r="H7691" s="243">
        <f>VLOOKUP(D7691,Upah,8,FALSE)</f>
        <v>150000</v>
      </c>
      <c r="I7691" s="126">
        <f>G7691*H7691</f>
        <v>33750</v>
      </c>
    </row>
    <row r="7692" spans="2:10" ht="15.95" customHeight="1" x14ac:dyDescent="0.25">
      <c r="C7692" s="122"/>
      <c r="D7692" s="117" t="s">
        <v>429</v>
      </c>
      <c r="E7692" s="123" t="s">
        <v>372</v>
      </c>
      <c r="F7692" s="239" t="s">
        <v>368</v>
      </c>
      <c r="G7692" s="242">
        <v>2.3E-2</v>
      </c>
      <c r="H7692" s="243">
        <f>VLOOKUP(D7692,Upah,8,FALSE)</f>
        <v>165000</v>
      </c>
      <c r="I7692" s="126">
        <f>G7692*H7692</f>
        <v>3795</v>
      </c>
    </row>
    <row r="7693" spans="2:10" ht="15.95" customHeight="1" thickBot="1" x14ac:dyDescent="0.3">
      <c r="C7693" s="122"/>
      <c r="D7693" s="117" t="s">
        <v>373</v>
      </c>
      <c r="E7693" s="123" t="s">
        <v>374</v>
      </c>
      <c r="F7693" s="239" t="s">
        <v>368</v>
      </c>
      <c r="G7693" s="242">
        <v>7.0000000000000001E-3</v>
      </c>
      <c r="H7693" s="243">
        <f>VLOOKUP(D7693,Upah,8,FALSE)</f>
        <v>170000</v>
      </c>
      <c r="I7693" s="126">
        <f>G7693*H7693</f>
        <v>1190</v>
      </c>
    </row>
    <row r="7694" spans="2:10" ht="15.95" customHeight="1" thickBot="1" x14ac:dyDescent="0.3">
      <c r="C7694" s="132"/>
      <c r="D7694" s="133"/>
      <c r="E7694" s="134"/>
      <c r="F7694" s="134"/>
      <c r="G7694" s="135" t="s">
        <v>375</v>
      </c>
      <c r="H7694" s="136"/>
      <c r="I7694" s="137">
        <f>SUM(I7690:I7693)</f>
        <v>55610</v>
      </c>
    </row>
    <row r="7695" spans="2:10" ht="15.95" customHeight="1" x14ac:dyDescent="0.25">
      <c r="C7695" s="116" t="s">
        <v>376</v>
      </c>
      <c r="D7695" s="117" t="s">
        <v>377</v>
      </c>
      <c r="E7695" s="118"/>
      <c r="F7695" s="118"/>
      <c r="G7695" s="165"/>
      <c r="H7695" s="144"/>
      <c r="I7695" s="126"/>
    </row>
    <row r="7696" spans="2:10" ht="15.95" customHeight="1" x14ac:dyDescent="0.25">
      <c r="C7696" s="122"/>
      <c r="D7696" s="117" t="s">
        <v>1599</v>
      </c>
      <c r="E7696" s="118"/>
      <c r="F7696" s="239" t="s">
        <v>75</v>
      </c>
      <c r="G7696" s="242">
        <v>1.2</v>
      </c>
      <c r="H7696" s="144">
        <f>VLOOKUP(D7696,Bahan,6,FALSE)</f>
        <v>235750</v>
      </c>
      <c r="I7696" s="126">
        <f>G7696*H7696</f>
        <v>282900</v>
      </c>
    </row>
    <row r="7697" spans="2:10" ht="15.95" customHeight="1" thickBot="1" x14ac:dyDescent="0.3">
      <c r="C7697" s="122"/>
      <c r="D7697" s="117" t="s">
        <v>1535</v>
      </c>
      <c r="E7697" s="118"/>
      <c r="F7697" s="239" t="s">
        <v>1147</v>
      </c>
      <c r="G7697" s="242">
        <v>35</v>
      </c>
      <c r="H7697" s="144">
        <f>I7696/100</f>
        <v>2829</v>
      </c>
      <c r="I7697" s="126">
        <f>G7697*H7697</f>
        <v>99015</v>
      </c>
    </row>
    <row r="7698" spans="2:10" ht="15.95" customHeight="1" thickBot="1" x14ac:dyDescent="0.3">
      <c r="C7698" s="132"/>
      <c r="D7698" s="133"/>
      <c r="E7698" s="134"/>
      <c r="F7698" s="134"/>
      <c r="G7698" s="135" t="s">
        <v>386</v>
      </c>
      <c r="H7698" s="136"/>
      <c r="I7698" s="137">
        <f>SUM(I7696:I7697)</f>
        <v>381915</v>
      </c>
    </row>
    <row r="7699" spans="2:10" ht="15.95" customHeight="1" thickBot="1" x14ac:dyDescent="0.3">
      <c r="C7699" s="116" t="s">
        <v>387</v>
      </c>
      <c r="D7699" s="117" t="s">
        <v>388</v>
      </c>
      <c r="E7699" s="118"/>
      <c r="F7699" s="118"/>
      <c r="G7699" s="165"/>
      <c r="H7699" s="144">
        <f>IF(AND(D7699&lt;&gt;"",F7699&lt;&gt;""),IF(C7699="",IF(F7699="OH",VLOOKUP(D7699,[1]UPAH!$B$3:$G$32,7,0),VLOOKUP(D7699,[1]BAHAN!$A$2:$D$3,4,0)),0),0)</f>
        <v>0</v>
      </c>
      <c r="I7699" s="126">
        <f>G7699*H7699</f>
        <v>0</v>
      </c>
    </row>
    <row r="7700" spans="2:10" ht="15.95" customHeight="1" thickBot="1" x14ac:dyDescent="0.3">
      <c r="C7700" s="132"/>
      <c r="D7700" s="133"/>
      <c r="E7700" s="134"/>
      <c r="F7700" s="134"/>
      <c r="G7700" s="135" t="s">
        <v>389</v>
      </c>
      <c r="H7700" s="136"/>
      <c r="I7700" s="137">
        <f>I7699</f>
        <v>0</v>
      </c>
    </row>
    <row r="7701" spans="2:10" ht="15.95" customHeight="1" x14ac:dyDescent="0.25">
      <c r="C7701" s="158" t="s">
        <v>390</v>
      </c>
      <c r="D7701" s="159" t="s">
        <v>391</v>
      </c>
      <c r="E7701" s="160"/>
      <c r="F7701" s="160"/>
      <c r="G7701" s="161"/>
      <c r="H7701" s="162">
        <f>IF(AND(D7701&lt;&gt;"",F7701&lt;&gt;""),IF(C7701="",IF(F7701="OH",VLOOKUP(D7701,[1]UPAH!$B$3:$G$32,7,0),VLOOKUP(D7701,[1]BAHAN!$A$2:$D$3,4,0)),0),0)</f>
        <v>0</v>
      </c>
      <c r="I7701" s="126">
        <f>SUM(I7690:I7700)/2</f>
        <v>437525</v>
      </c>
    </row>
    <row r="7702" spans="2:10" ht="15.95" customHeight="1" thickBot="1" x14ac:dyDescent="0.3">
      <c r="C7702" s="147" t="s">
        <v>392</v>
      </c>
      <c r="D7702" s="148" t="s">
        <v>393</v>
      </c>
      <c r="E7702" s="149"/>
      <c r="F7702" s="149"/>
      <c r="G7702" s="164">
        <v>0.1</v>
      </c>
      <c r="H7702" s="151"/>
      <c r="I7702" s="146">
        <f>G7702*I7701</f>
        <v>43752.5</v>
      </c>
    </row>
    <row r="7703" spans="2:10" ht="15.95" customHeight="1" thickBot="1" x14ac:dyDescent="0.3">
      <c r="C7703" s="111" t="s">
        <v>394</v>
      </c>
      <c r="D7703" s="112" t="s">
        <v>395</v>
      </c>
      <c r="E7703" s="134"/>
      <c r="F7703" s="134"/>
      <c r="G7703" s="156"/>
      <c r="H7703" s="136">
        <f>IF(AND(D7703&lt;&gt;"",F7703&lt;&gt;""),IF(C7703="",IF(F7703="OH",VLOOKUP(D7703,[1]UPAH!$B$3:$G$32,7,0),VLOOKUP(D7703,[1]BAHAN!$A$2:$D$3,4,0)),0),0)</f>
        <v>0</v>
      </c>
      <c r="I7703" s="137">
        <f>ROUNDDOWN(I7701+I7702,0)</f>
        <v>481277</v>
      </c>
    </row>
    <row r="7704" spans="2:10" ht="15.95" customHeight="1" x14ac:dyDescent="0.25">
      <c r="C7704" s="109"/>
      <c r="D7704" s="109"/>
      <c r="G7704" s="157"/>
      <c r="H7704" s="166"/>
      <c r="I7704" s="110"/>
    </row>
    <row r="7705" spans="2:10" ht="15.95" customHeight="1" thickBot="1" x14ac:dyDescent="0.3">
      <c r="B7705" s="109" t="s">
        <v>1600</v>
      </c>
      <c r="C7705" s="104" t="s">
        <v>1601</v>
      </c>
      <c r="G7705" s="157"/>
      <c r="J7705" s="110">
        <f>I7721</f>
        <v>860398</v>
      </c>
    </row>
    <row r="7706" spans="2:10" ht="15.95" customHeight="1" thickBot="1" x14ac:dyDescent="0.3">
      <c r="C7706" s="111" t="s">
        <v>328</v>
      </c>
      <c r="D7706" s="112" t="s">
        <v>359</v>
      </c>
      <c r="E7706" s="113" t="s">
        <v>360</v>
      </c>
      <c r="F7706" s="113" t="s">
        <v>330</v>
      </c>
      <c r="G7706" s="114" t="s">
        <v>361</v>
      </c>
      <c r="H7706" s="112" t="s">
        <v>362</v>
      </c>
      <c r="I7706" s="115" t="s">
        <v>363</v>
      </c>
    </row>
    <row r="7707" spans="2:10" ht="15.95" customHeight="1" x14ac:dyDescent="0.25">
      <c r="C7707" s="116" t="s">
        <v>364</v>
      </c>
      <c r="D7707" s="117" t="s">
        <v>365</v>
      </c>
      <c r="E7707" s="118"/>
      <c r="F7707" s="118"/>
      <c r="G7707" s="165"/>
      <c r="H7707" s="144"/>
      <c r="I7707" s="126"/>
    </row>
    <row r="7708" spans="2:10" ht="15.95" customHeight="1" x14ac:dyDescent="0.25">
      <c r="C7708" s="122"/>
      <c r="D7708" s="117" t="s">
        <v>366</v>
      </c>
      <c r="E7708" s="123" t="s">
        <v>367</v>
      </c>
      <c r="F7708" s="239" t="s">
        <v>368</v>
      </c>
      <c r="G7708" s="242">
        <v>0.13500000000000001</v>
      </c>
      <c r="H7708" s="243">
        <f>VLOOKUP(D7708,Upah,8,FALSE)</f>
        <v>125000</v>
      </c>
      <c r="I7708" s="126">
        <f>G7708*H7708</f>
        <v>16875</v>
      </c>
    </row>
    <row r="7709" spans="2:10" ht="15.95" customHeight="1" x14ac:dyDescent="0.25">
      <c r="C7709" s="122"/>
      <c r="D7709" s="117" t="s">
        <v>413</v>
      </c>
      <c r="E7709" s="123" t="s">
        <v>414</v>
      </c>
      <c r="F7709" s="239" t="s">
        <v>368</v>
      </c>
      <c r="G7709" s="242">
        <v>0.22500000000000001</v>
      </c>
      <c r="H7709" s="243">
        <f>VLOOKUP(D7709,Upah,8,FALSE)</f>
        <v>150000</v>
      </c>
      <c r="I7709" s="126">
        <f>G7709*H7709</f>
        <v>33750</v>
      </c>
    </row>
    <row r="7710" spans="2:10" ht="15.95" customHeight="1" x14ac:dyDescent="0.25">
      <c r="C7710" s="122"/>
      <c r="D7710" s="117" t="s">
        <v>429</v>
      </c>
      <c r="E7710" s="123" t="s">
        <v>372</v>
      </c>
      <c r="F7710" s="239" t="s">
        <v>368</v>
      </c>
      <c r="G7710" s="242">
        <v>2.3E-2</v>
      </c>
      <c r="H7710" s="243">
        <f>VLOOKUP(D7710,Upah,8,FALSE)</f>
        <v>165000</v>
      </c>
      <c r="I7710" s="126">
        <f>G7710*H7710</f>
        <v>3795</v>
      </c>
    </row>
    <row r="7711" spans="2:10" ht="15.95" customHeight="1" thickBot="1" x14ac:dyDescent="0.3">
      <c r="C7711" s="122"/>
      <c r="D7711" s="117" t="s">
        <v>373</v>
      </c>
      <c r="E7711" s="123" t="s">
        <v>374</v>
      </c>
      <c r="F7711" s="239" t="s">
        <v>368</v>
      </c>
      <c r="G7711" s="242">
        <v>7.0000000000000001E-3</v>
      </c>
      <c r="H7711" s="243">
        <f>VLOOKUP(D7711,Upah,8,FALSE)</f>
        <v>170000</v>
      </c>
      <c r="I7711" s="126">
        <f>G7711*H7711</f>
        <v>1190</v>
      </c>
    </row>
    <row r="7712" spans="2:10" ht="15.95" customHeight="1" thickBot="1" x14ac:dyDescent="0.3">
      <c r="C7712" s="132"/>
      <c r="D7712" s="133"/>
      <c r="E7712" s="134"/>
      <c r="F7712" s="134"/>
      <c r="G7712" s="135" t="s">
        <v>375</v>
      </c>
      <c r="H7712" s="136"/>
      <c r="I7712" s="137">
        <f>SUM(I7708:I7711)</f>
        <v>55610</v>
      </c>
    </row>
    <row r="7713" spans="2:10" ht="15.95" customHeight="1" x14ac:dyDescent="0.25">
      <c r="C7713" s="116" t="s">
        <v>376</v>
      </c>
      <c r="D7713" s="117" t="s">
        <v>377</v>
      </c>
      <c r="E7713" s="118"/>
      <c r="F7713" s="118"/>
      <c r="G7713" s="165"/>
      <c r="H7713" s="144"/>
      <c r="I7713" s="126"/>
    </row>
    <row r="7714" spans="2:10" ht="15.95" customHeight="1" x14ac:dyDescent="0.25">
      <c r="C7714" s="122"/>
      <c r="D7714" s="117" t="s">
        <v>1602</v>
      </c>
      <c r="E7714" s="118"/>
      <c r="F7714" s="239" t="s">
        <v>75</v>
      </c>
      <c r="G7714" s="242">
        <v>1.2</v>
      </c>
      <c r="H7714" s="144">
        <f>VLOOKUP(D7714,Bahan,6,FALSE)</f>
        <v>448500</v>
      </c>
      <c r="I7714" s="126">
        <f>G7714*H7714</f>
        <v>538200</v>
      </c>
    </row>
    <row r="7715" spans="2:10" ht="15.95" customHeight="1" thickBot="1" x14ac:dyDescent="0.3">
      <c r="C7715" s="122"/>
      <c r="D7715" s="117" t="s">
        <v>1535</v>
      </c>
      <c r="E7715" s="118"/>
      <c r="F7715" s="239" t="s">
        <v>1147</v>
      </c>
      <c r="G7715" s="242">
        <v>35</v>
      </c>
      <c r="H7715" s="144">
        <f>I7714/100</f>
        <v>5382</v>
      </c>
      <c r="I7715" s="126">
        <f>G7715*H7715</f>
        <v>188370</v>
      </c>
    </row>
    <row r="7716" spans="2:10" ht="15.95" customHeight="1" thickBot="1" x14ac:dyDescent="0.3">
      <c r="C7716" s="132"/>
      <c r="D7716" s="133"/>
      <c r="E7716" s="134"/>
      <c r="F7716" s="134"/>
      <c r="G7716" s="135" t="s">
        <v>386</v>
      </c>
      <c r="H7716" s="136"/>
      <c r="I7716" s="137">
        <f>SUM(I7714:I7715)</f>
        <v>726570</v>
      </c>
    </row>
    <row r="7717" spans="2:10" ht="15.95" customHeight="1" thickBot="1" x14ac:dyDescent="0.3">
      <c r="C7717" s="116" t="s">
        <v>387</v>
      </c>
      <c r="D7717" s="117" t="s">
        <v>388</v>
      </c>
      <c r="E7717" s="118"/>
      <c r="F7717" s="118"/>
      <c r="G7717" s="165"/>
      <c r="H7717" s="144">
        <f>IF(AND(D7717&lt;&gt;"",F7717&lt;&gt;""),IF(C7717="",IF(F7717="OH",VLOOKUP(D7717,[1]UPAH!$B$3:$G$32,7,0),VLOOKUP(D7717,[1]BAHAN!$A$2:$D$3,4,0)),0),0)</f>
        <v>0</v>
      </c>
      <c r="I7717" s="126">
        <f>G7717*H7717</f>
        <v>0</v>
      </c>
    </row>
    <row r="7718" spans="2:10" ht="15.95" customHeight="1" thickBot="1" x14ac:dyDescent="0.3">
      <c r="C7718" s="132"/>
      <c r="D7718" s="133"/>
      <c r="E7718" s="134"/>
      <c r="F7718" s="134"/>
      <c r="G7718" s="135" t="s">
        <v>389</v>
      </c>
      <c r="H7718" s="136"/>
      <c r="I7718" s="137">
        <f>I7717</f>
        <v>0</v>
      </c>
    </row>
    <row r="7719" spans="2:10" ht="15.95" customHeight="1" x14ac:dyDescent="0.25">
      <c r="C7719" s="158" t="s">
        <v>390</v>
      </c>
      <c r="D7719" s="159" t="s">
        <v>391</v>
      </c>
      <c r="E7719" s="160"/>
      <c r="F7719" s="160"/>
      <c r="G7719" s="161"/>
      <c r="H7719" s="162">
        <f>IF(AND(D7719&lt;&gt;"",F7719&lt;&gt;""),IF(C7719="",IF(F7719="OH",VLOOKUP(D7719,[1]UPAH!$B$3:$G$32,7,0),VLOOKUP(D7719,[1]BAHAN!$A$2:$D$3,4,0)),0),0)</f>
        <v>0</v>
      </c>
      <c r="I7719" s="126">
        <f>SUM(I7708:I7718)/2</f>
        <v>782180</v>
      </c>
    </row>
    <row r="7720" spans="2:10" ht="15.95" customHeight="1" thickBot="1" x14ac:dyDescent="0.3">
      <c r="C7720" s="147" t="s">
        <v>392</v>
      </c>
      <c r="D7720" s="148" t="s">
        <v>393</v>
      </c>
      <c r="E7720" s="149"/>
      <c r="F7720" s="149"/>
      <c r="G7720" s="164">
        <v>0.1</v>
      </c>
      <c r="H7720" s="151"/>
      <c r="I7720" s="146">
        <f>G7720*I7719</f>
        <v>78218</v>
      </c>
    </row>
    <row r="7721" spans="2:10" ht="15.95" customHeight="1" thickBot="1" x14ac:dyDescent="0.3">
      <c r="C7721" s="111" t="s">
        <v>394</v>
      </c>
      <c r="D7721" s="112" t="s">
        <v>395</v>
      </c>
      <c r="E7721" s="134"/>
      <c r="F7721" s="134"/>
      <c r="G7721" s="156"/>
      <c r="H7721" s="136">
        <f>IF(AND(D7721&lt;&gt;"",F7721&lt;&gt;""),IF(C7721="",IF(F7721="OH",VLOOKUP(D7721,[1]UPAH!$B$3:$G$32,7,0),VLOOKUP(D7721,[1]BAHAN!$A$2:$D$3,4,0)),0),0)</f>
        <v>0</v>
      </c>
      <c r="I7721" s="137">
        <f>ROUNDDOWN(I7719+I7720,0)</f>
        <v>860398</v>
      </c>
    </row>
    <row r="7722" spans="2:10" ht="15.95" customHeight="1" x14ac:dyDescent="0.25">
      <c r="C7722" s="109"/>
      <c r="D7722" s="109"/>
      <c r="G7722" s="157"/>
      <c r="H7722" s="166"/>
      <c r="I7722" s="110"/>
    </row>
    <row r="7723" spans="2:10" ht="15.95" customHeight="1" thickBot="1" x14ac:dyDescent="0.3">
      <c r="B7723" s="109" t="s">
        <v>1603</v>
      </c>
      <c r="C7723" s="104" t="s">
        <v>1604</v>
      </c>
      <c r="G7723" s="157"/>
      <c r="J7723" s="110">
        <f>I7739</f>
        <v>27539</v>
      </c>
    </row>
    <row r="7724" spans="2:10" ht="15.95" customHeight="1" thickBot="1" x14ac:dyDescent="0.3">
      <c r="C7724" s="111" t="s">
        <v>328</v>
      </c>
      <c r="D7724" s="112" t="s">
        <v>359</v>
      </c>
      <c r="E7724" s="113" t="s">
        <v>360</v>
      </c>
      <c r="F7724" s="113" t="s">
        <v>330</v>
      </c>
      <c r="G7724" s="114" t="s">
        <v>361</v>
      </c>
      <c r="H7724" s="112" t="s">
        <v>362</v>
      </c>
      <c r="I7724" s="115" t="s">
        <v>363</v>
      </c>
    </row>
    <row r="7725" spans="2:10" ht="15.95" customHeight="1" x14ac:dyDescent="0.25">
      <c r="C7725" s="116" t="s">
        <v>364</v>
      </c>
      <c r="D7725" s="117" t="s">
        <v>365</v>
      </c>
      <c r="E7725" s="118"/>
      <c r="F7725" s="118"/>
      <c r="G7725" s="165"/>
      <c r="H7725" s="144"/>
      <c r="I7725" s="126"/>
    </row>
    <row r="7726" spans="2:10" ht="15.95" customHeight="1" x14ac:dyDescent="0.25">
      <c r="C7726" s="122"/>
      <c r="D7726" s="117" t="s">
        <v>366</v>
      </c>
      <c r="E7726" s="123" t="s">
        <v>367</v>
      </c>
      <c r="F7726" s="239" t="s">
        <v>368</v>
      </c>
      <c r="G7726" s="242">
        <v>3.5999999999999997E-2</v>
      </c>
      <c r="H7726" s="243">
        <f>VLOOKUP(D7726,Upah,8,FALSE)</f>
        <v>125000</v>
      </c>
      <c r="I7726" s="126">
        <f>G7726*H7726</f>
        <v>4500</v>
      </c>
    </row>
    <row r="7727" spans="2:10" ht="15.95" customHeight="1" x14ac:dyDescent="0.25">
      <c r="C7727" s="122"/>
      <c r="D7727" s="117" t="s">
        <v>413</v>
      </c>
      <c r="E7727" s="123" t="s">
        <v>414</v>
      </c>
      <c r="F7727" s="239" t="s">
        <v>368</v>
      </c>
      <c r="G7727" s="242">
        <v>0.06</v>
      </c>
      <c r="H7727" s="243">
        <f>VLOOKUP(D7727,Upah,8,FALSE)</f>
        <v>150000</v>
      </c>
      <c r="I7727" s="126">
        <f>G7727*H7727</f>
        <v>9000</v>
      </c>
    </row>
    <row r="7728" spans="2:10" ht="15.95" customHeight="1" x14ac:dyDescent="0.25">
      <c r="C7728" s="122"/>
      <c r="D7728" s="117" t="s">
        <v>429</v>
      </c>
      <c r="E7728" s="123" t="s">
        <v>372</v>
      </c>
      <c r="F7728" s="239" t="s">
        <v>368</v>
      </c>
      <c r="G7728" s="242">
        <v>6.0000000000000001E-3</v>
      </c>
      <c r="H7728" s="243">
        <f>VLOOKUP(D7728,Upah,8,FALSE)</f>
        <v>165000</v>
      </c>
      <c r="I7728" s="126">
        <f>G7728*H7728</f>
        <v>990</v>
      </c>
    </row>
    <row r="7729" spans="2:10" ht="15.95" customHeight="1" thickBot="1" x14ac:dyDescent="0.3">
      <c r="C7729" s="122"/>
      <c r="D7729" s="117" t="s">
        <v>373</v>
      </c>
      <c r="E7729" s="123" t="s">
        <v>374</v>
      </c>
      <c r="F7729" s="239" t="s">
        <v>368</v>
      </c>
      <c r="G7729" s="242">
        <v>2E-3</v>
      </c>
      <c r="H7729" s="243">
        <f>VLOOKUP(D7729,Upah,8,FALSE)</f>
        <v>170000</v>
      </c>
      <c r="I7729" s="126">
        <f>G7729*H7729</f>
        <v>340</v>
      </c>
    </row>
    <row r="7730" spans="2:10" ht="15.95" customHeight="1" thickBot="1" x14ac:dyDescent="0.3">
      <c r="C7730" s="132"/>
      <c r="D7730" s="133"/>
      <c r="E7730" s="134"/>
      <c r="F7730" s="134"/>
      <c r="G7730" s="135" t="s">
        <v>375</v>
      </c>
      <c r="H7730" s="136"/>
      <c r="I7730" s="137">
        <f>SUM(I7726:I7729)</f>
        <v>14830</v>
      </c>
    </row>
    <row r="7731" spans="2:10" ht="15.95" customHeight="1" x14ac:dyDescent="0.25">
      <c r="C7731" s="116" t="s">
        <v>376</v>
      </c>
      <c r="D7731" s="117" t="s">
        <v>377</v>
      </c>
      <c r="E7731" s="118"/>
      <c r="F7731" s="118"/>
      <c r="G7731" s="165"/>
      <c r="H7731" s="144"/>
      <c r="I7731" s="126"/>
    </row>
    <row r="7732" spans="2:10" ht="15.95" customHeight="1" x14ac:dyDescent="0.25">
      <c r="C7732" s="122"/>
      <c r="D7732" s="117" t="s">
        <v>1605</v>
      </c>
      <c r="E7732" s="118"/>
      <c r="F7732" s="239" t="s">
        <v>75</v>
      </c>
      <c r="G7732" s="242">
        <v>1.2</v>
      </c>
      <c r="H7732" s="144">
        <f>VLOOKUP(D7732,Bahan,6,FALSE)</f>
        <v>6300</v>
      </c>
      <c r="I7732" s="126">
        <f>G7732*H7732</f>
        <v>7560</v>
      </c>
    </row>
    <row r="7733" spans="2:10" ht="15.95" customHeight="1" thickBot="1" x14ac:dyDescent="0.3">
      <c r="C7733" s="122"/>
      <c r="D7733" s="117" t="s">
        <v>1535</v>
      </c>
      <c r="E7733" s="118"/>
      <c r="F7733" s="239" t="s">
        <v>1147</v>
      </c>
      <c r="G7733" s="242">
        <v>35</v>
      </c>
      <c r="H7733" s="144">
        <f>I7732/100</f>
        <v>75.599999999999994</v>
      </c>
      <c r="I7733" s="126">
        <f>G7733*H7733</f>
        <v>2646</v>
      </c>
    </row>
    <row r="7734" spans="2:10" ht="15.95" customHeight="1" thickBot="1" x14ac:dyDescent="0.3">
      <c r="C7734" s="132"/>
      <c r="D7734" s="133"/>
      <c r="E7734" s="134"/>
      <c r="F7734" s="134"/>
      <c r="G7734" s="135" t="s">
        <v>386</v>
      </c>
      <c r="H7734" s="136"/>
      <c r="I7734" s="137">
        <f>SUM(I7732:I7733)</f>
        <v>10206</v>
      </c>
    </row>
    <row r="7735" spans="2:10" ht="15.95" customHeight="1" thickBot="1" x14ac:dyDescent="0.3">
      <c r="C7735" s="116" t="s">
        <v>387</v>
      </c>
      <c r="D7735" s="117" t="s">
        <v>388</v>
      </c>
      <c r="E7735" s="118"/>
      <c r="F7735" s="118"/>
      <c r="G7735" s="165"/>
      <c r="H7735" s="144">
        <f>IF(AND(D7735&lt;&gt;"",F7735&lt;&gt;""),IF(C7735="",IF(F7735="OH",VLOOKUP(D7735,[1]UPAH!$B$3:$G$32,7,0),VLOOKUP(D7735,[1]BAHAN!$A$2:$D$3,4,0)),0),0)</f>
        <v>0</v>
      </c>
      <c r="I7735" s="126">
        <f>G7735*H7735</f>
        <v>0</v>
      </c>
    </row>
    <row r="7736" spans="2:10" ht="15.95" customHeight="1" thickBot="1" x14ac:dyDescent="0.3">
      <c r="C7736" s="132"/>
      <c r="D7736" s="133"/>
      <c r="E7736" s="134"/>
      <c r="F7736" s="134"/>
      <c r="G7736" s="135" t="s">
        <v>389</v>
      </c>
      <c r="H7736" s="136"/>
      <c r="I7736" s="137">
        <f>I7735</f>
        <v>0</v>
      </c>
    </row>
    <row r="7737" spans="2:10" ht="15.95" customHeight="1" x14ac:dyDescent="0.25">
      <c r="C7737" s="158" t="s">
        <v>390</v>
      </c>
      <c r="D7737" s="159" t="s">
        <v>391</v>
      </c>
      <c r="E7737" s="160"/>
      <c r="F7737" s="160"/>
      <c r="G7737" s="161"/>
      <c r="H7737" s="162">
        <f>IF(AND(D7737&lt;&gt;"",F7737&lt;&gt;""),IF(C7737="",IF(F7737="OH",VLOOKUP(D7737,[1]UPAH!$B$3:$G$32,7,0),VLOOKUP(D7737,[1]BAHAN!$A$2:$D$3,4,0)),0),0)</f>
        <v>0</v>
      </c>
      <c r="I7737" s="126">
        <f>SUM(I7726:I7736)/2</f>
        <v>25036</v>
      </c>
    </row>
    <row r="7738" spans="2:10" ht="15.95" customHeight="1" thickBot="1" x14ac:dyDescent="0.3">
      <c r="C7738" s="147" t="s">
        <v>392</v>
      </c>
      <c r="D7738" s="148" t="s">
        <v>393</v>
      </c>
      <c r="E7738" s="149"/>
      <c r="F7738" s="149"/>
      <c r="G7738" s="164">
        <v>0.1</v>
      </c>
      <c r="H7738" s="151"/>
      <c r="I7738" s="146">
        <f>G7738*I7737</f>
        <v>2503.6000000000004</v>
      </c>
    </row>
    <row r="7739" spans="2:10" ht="15.95" customHeight="1" thickBot="1" x14ac:dyDescent="0.3">
      <c r="C7739" s="111" t="s">
        <v>394</v>
      </c>
      <c r="D7739" s="112" t="s">
        <v>395</v>
      </c>
      <c r="E7739" s="134"/>
      <c r="F7739" s="134"/>
      <c r="G7739" s="156"/>
      <c r="H7739" s="136">
        <f>IF(AND(D7739&lt;&gt;"",F7739&lt;&gt;""),IF(C7739="",IF(F7739="OH",VLOOKUP(D7739,[1]UPAH!$B$3:$G$32,7,0),VLOOKUP(D7739,[1]BAHAN!$A$2:$D$3,4,0)),0),0)</f>
        <v>0</v>
      </c>
      <c r="I7739" s="137">
        <f>ROUNDDOWN(I7737+I7738,0)</f>
        <v>27539</v>
      </c>
    </row>
    <row r="7740" spans="2:10" ht="15.95" customHeight="1" x14ac:dyDescent="0.25">
      <c r="C7740" s="109"/>
      <c r="D7740" s="109"/>
      <c r="G7740" s="157"/>
      <c r="H7740" s="166"/>
      <c r="I7740" s="110"/>
    </row>
    <row r="7741" spans="2:10" ht="15.95" customHeight="1" thickBot="1" x14ac:dyDescent="0.3">
      <c r="B7741" s="109" t="s">
        <v>1606</v>
      </c>
      <c r="C7741" s="104" t="s">
        <v>1607</v>
      </c>
      <c r="G7741" s="157"/>
      <c r="J7741" s="110">
        <f>I7757</f>
        <v>31103</v>
      </c>
    </row>
    <row r="7742" spans="2:10" ht="15.95" customHeight="1" thickBot="1" x14ac:dyDescent="0.3">
      <c r="C7742" s="111" t="s">
        <v>328</v>
      </c>
      <c r="D7742" s="112" t="s">
        <v>359</v>
      </c>
      <c r="E7742" s="113" t="s">
        <v>360</v>
      </c>
      <c r="F7742" s="113" t="s">
        <v>330</v>
      </c>
      <c r="G7742" s="114" t="s">
        <v>361</v>
      </c>
      <c r="H7742" s="112" t="s">
        <v>362</v>
      </c>
      <c r="I7742" s="115" t="s">
        <v>363</v>
      </c>
    </row>
    <row r="7743" spans="2:10" ht="15.95" customHeight="1" x14ac:dyDescent="0.25">
      <c r="C7743" s="116" t="s">
        <v>364</v>
      </c>
      <c r="D7743" s="117" t="s">
        <v>365</v>
      </c>
      <c r="E7743" s="118"/>
      <c r="F7743" s="118"/>
      <c r="G7743" s="165"/>
      <c r="H7743" s="144"/>
      <c r="I7743" s="126"/>
    </row>
    <row r="7744" spans="2:10" ht="15.95" customHeight="1" x14ac:dyDescent="0.25">
      <c r="C7744" s="122"/>
      <c r="D7744" s="117" t="s">
        <v>366</v>
      </c>
      <c r="E7744" s="123" t="s">
        <v>367</v>
      </c>
      <c r="F7744" s="239" t="s">
        <v>368</v>
      </c>
      <c r="G7744" s="242">
        <v>3.5999999999999997E-2</v>
      </c>
      <c r="H7744" s="243">
        <f>VLOOKUP(D7744,Upah,8,FALSE)</f>
        <v>125000</v>
      </c>
      <c r="I7744" s="126">
        <f>G7744*H7744</f>
        <v>4500</v>
      </c>
    </row>
    <row r="7745" spans="2:10" ht="15.95" customHeight="1" x14ac:dyDescent="0.25">
      <c r="C7745" s="122"/>
      <c r="D7745" s="117" t="s">
        <v>413</v>
      </c>
      <c r="E7745" s="123" t="s">
        <v>414</v>
      </c>
      <c r="F7745" s="239" t="s">
        <v>368</v>
      </c>
      <c r="G7745" s="242">
        <v>0.06</v>
      </c>
      <c r="H7745" s="243">
        <f>VLOOKUP(D7745,Upah,8,FALSE)</f>
        <v>150000</v>
      </c>
      <c r="I7745" s="126">
        <f>G7745*H7745</f>
        <v>9000</v>
      </c>
    </row>
    <row r="7746" spans="2:10" ht="15.95" customHeight="1" x14ac:dyDescent="0.25">
      <c r="C7746" s="122"/>
      <c r="D7746" s="117" t="s">
        <v>429</v>
      </c>
      <c r="E7746" s="123" t="s">
        <v>372</v>
      </c>
      <c r="F7746" s="239" t="s">
        <v>368</v>
      </c>
      <c r="G7746" s="242">
        <v>6.0000000000000001E-3</v>
      </c>
      <c r="H7746" s="243">
        <f>VLOOKUP(D7746,Upah,8,FALSE)</f>
        <v>165000</v>
      </c>
      <c r="I7746" s="126">
        <f>G7746*H7746</f>
        <v>990</v>
      </c>
    </row>
    <row r="7747" spans="2:10" ht="15.95" customHeight="1" thickBot="1" x14ac:dyDescent="0.3">
      <c r="C7747" s="122"/>
      <c r="D7747" s="117" t="s">
        <v>373</v>
      </c>
      <c r="E7747" s="123" t="s">
        <v>374</v>
      </c>
      <c r="F7747" s="239" t="s">
        <v>368</v>
      </c>
      <c r="G7747" s="242">
        <v>2E-3</v>
      </c>
      <c r="H7747" s="243">
        <f>VLOOKUP(D7747,Upah,8,FALSE)</f>
        <v>170000</v>
      </c>
      <c r="I7747" s="126">
        <f>G7747*H7747</f>
        <v>340</v>
      </c>
    </row>
    <row r="7748" spans="2:10" ht="15.95" customHeight="1" thickBot="1" x14ac:dyDescent="0.3">
      <c r="C7748" s="132"/>
      <c r="D7748" s="133"/>
      <c r="E7748" s="134"/>
      <c r="F7748" s="134"/>
      <c r="G7748" s="135" t="s">
        <v>375</v>
      </c>
      <c r="H7748" s="136"/>
      <c r="I7748" s="137">
        <f>SUM(I7744:I7747)</f>
        <v>14830</v>
      </c>
    </row>
    <row r="7749" spans="2:10" ht="15.95" customHeight="1" x14ac:dyDescent="0.25">
      <c r="C7749" s="116" t="s">
        <v>376</v>
      </c>
      <c r="D7749" s="117" t="s">
        <v>377</v>
      </c>
      <c r="E7749" s="118"/>
      <c r="F7749" s="118"/>
      <c r="G7749" s="165"/>
      <c r="H7749" s="144"/>
      <c r="I7749" s="126"/>
    </row>
    <row r="7750" spans="2:10" ht="15.95" customHeight="1" x14ac:dyDescent="0.25">
      <c r="C7750" s="122"/>
      <c r="D7750" s="117" t="s">
        <v>1608</v>
      </c>
      <c r="E7750" s="118"/>
      <c r="F7750" s="239" t="s">
        <v>75</v>
      </c>
      <c r="G7750" s="242">
        <v>1.2</v>
      </c>
      <c r="H7750" s="144">
        <f>VLOOKUP(D7750,Bahan,6,FALSE)</f>
        <v>8300</v>
      </c>
      <c r="I7750" s="126">
        <f>G7750*H7750</f>
        <v>9960</v>
      </c>
    </row>
    <row r="7751" spans="2:10" ht="15.95" customHeight="1" thickBot="1" x14ac:dyDescent="0.3">
      <c r="C7751" s="122"/>
      <c r="D7751" s="117" t="s">
        <v>1535</v>
      </c>
      <c r="E7751" s="118"/>
      <c r="F7751" s="239" t="s">
        <v>1147</v>
      </c>
      <c r="G7751" s="242">
        <v>35</v>
      </c>
      <c r="H7751" s="144">
        <f>I7750/100</f>
        <v>99.6</v>
      </c>
      <c r="I7751" s="126">
        <f>G7751*H7751</f>
        <v>3486</v>
      </c>
    </row>
    <row r="7752" spans="2:10" ht="15.95" customHeight="1" thickBot="1" x14ac:dyDescent="0.3">
      <c r="C7752" s="132"/>
      <c r="D7752" s="133"/>
      <c r="E7752" s="134"/>
      <c r="F7752" s="134"/>
      <c r="G7752" s="135" t="s">
        <v>386</v>
      </c>
      <c r="H7752" s="136"/>
      <c r="I7752" s="137">
        <f>SUM(I7750:I7751)</f>
        <v>13446</v>
      </c>
    </row>
    <row r="7753" spans="2:10" ht="15.95" customHeight="1" thickBot="1" x14ac:dyDescent="0.3">
      <c r="C7753" s="116" t="s">
        <v>387</v>
      </c>
      <c r="D7753" s="117" t="s">
        <v>388</v>
      </c>
      <c r="E7753" s="118"/>
      <c r="F7753" s="118"/>
      <c r="G7753" s="165"/>
      <c r="H7753" s="144">
        <f>IF(AND(D7753&lt;&gt;"",F7753&lt;&gt;""),IF(C7753="",IF(F7753="OH",VLOOKUP(D7753,[1]UPAH!$B$3:$G$32,7,0),VLOOKUP(D7753,[1]BAHAN!$A$2:$D$3,4,0)),0),0)</f>
        <v>0</v>
      </c>
      <c r="I7753" s="126">
        <f>G7753*H7753</f>
        <v>0</v>
      </c>
    </row>
    <row r="7754" spans="2:10" ht="15.95" customHeight="1" thickBot="1" x14ac:dyDescent="0.3">
      <c r="C7754" s="132"/>
      <c r="D7754" s="133"/>
      <c r="E7754" s="134"/>
      <c r="F7754" s="134"/>
      <c r="G7754" s="135" t="s">
        <v>389</v>
      </c>
      <c r="H7754" s="136"/>
      <c r="I7754" s="137">
        <f>I7753</f>
        <v>0</v>
      </c>
    </row>
    <row r="7755" spans="2:10" ht="15.95" customHeight="1" x14ac:dyDescent="0.25">
      <c r="C7755" s="158" t="s">
        <v>390</v>
      </c>
      <c r="D7755" s="159" t="s">
        <v>391</v>
      </c>
      <c r="E7755" s="160"/>
      <c r="F7755" s="160"/>
      <c r="G7755" s="161"/>
      <c r="H7755" s="162">
        <f>IF(AND(D7755&lt;&gt;"",F7755&lt;&gt;""),IF(C7755="",IF(F7755="OH",VLOOKUP(D7755,[1]UPAH!$B$3:$G$32,7,0),VLOOKUP(D7755,[1]BAHAN!$A$2:$D$3,4,0)),0),0)</f>
        <v>0</v>
      </c>
      <c r="I7755" s="126">
        <f>SUM(I7744:I7754)/2</f>
        <v>28276</v>
      </c>
    </row>
    <row r="7756" spans="2:10" ht="15.95" customHeight="1" thickBot="1" x14ac:dyDescent="0.3">
      <c r="C7756" s="147" t="s">
        <v>392</v>
      </c>
      <c r="D7756" s="148" t="s">
        <v>393</v>
      </c>
      <c r="E7756" s="149"/>
      <c r="F7756" s="149"/>
      <c r="G7756" s="164">
        <v>0.1</v>
      </c>
      <c r="H7756" s="151"/>
      <c r="I7756" s="146">
        <f>G7756*I7755</f>
        <v>2827.6000000000004</v>
      </c>
    </row>
    <row r="7757" spans="2:10" ht="15.95" customHeight="1" thickBot="1" x14ac:dyDescent="0.3">
      <c r="C7757" s="111" t="s">
        <v>394</v>
      </c>
      <c r="D7757" s="112" t="s">
        <v>395</v>
      </c>
      <c r="E7757" s="134"/>
      <c r="F7757" s="134"/>
      <c r="G7757" s="156"/>
      <c r="H7757" s="136">
        <f>IF(AND(D7757&lt;&gt;"",F7757&lt;&gt;""),IF(C7757="",IF(F7757="OH",VLOOKUP(D7757,[1]UPAH!$B$3:$G$32,7,0),VLOOKUP(D7757,[1]BAHAN!$A$2:$D$3,4,0)),0),0)</f>
        <v>0</v>
      </c>
      <c r="I7757" s="137">
        <f>ROUNDDOWN(I7755+I7756,0)</f>
        <v>31103</v>
      </c>
    </row>
    <row r="7758" spans="2:10" ht="15.95" customHeight="1" x14ac:dyDescent="0.25">
      <c r="C7758" s="109"/>
      <c r="D7758" s="109"/>
      <c r="G7758" s="157"/>
      <c r="H7758" s="166"/>
      <c r="I7758" s="110"/>
    </row>
    <row r="7759" spans="2:10" ht="15.95" customHeight="1" thickBot="1" x14ac:dyDescent="0.3">
      <c r="B7759" s="109" t="s">
        <v>1609</v>
      </c>
      <c r="C7759" s="104" t="s">
        <v>1610</v>
      </c>
      <c r="G7759" s="157"/>
      <c r="J7759" s="110">
        <f>I7775</f>
        <v>36271</v>
      </c>
    </row>
    <row r="7760" spans="2:10" ht="15.95" customHeight="1" thickBot="1" x14ac:dyDescent="0.3">
      <c r="C7760" s="111" t="s">
        <v>328</v>
      </c>
      <c r="D7760" s="112" t="s">
        <v>359</v>
      </c>
      <c r="E7760" s="113" t="s">
        <v>360</v>
      </c>
      <c r="F7760" s="113" t="s">
        <v>330</v>
      </c>
      <c r="G7760" s="114" t="s">
        <v>361</v>
      </c>
      <c r="H7760" s="112" t="s">
        <v>362</v>
      </c>
      <c r="I7760" s="115" t="s">
        <v>363</v>
      </c>
    </row>
    <row r="7761" spans="3:9" ht="15.95" customHeight="1" x14ac:dyDescent="0.25">
      <c r="C7761" s="158" t="s">
        <v>364</v>
      </c>
      <c r="D7761" s="159" t="s">
        <v>365</v>
      </c>
      <c r="E7761" s="160"/>
      <c r="F7761" s="160"/>
      <c r="G7761" s="161"/>
      <c r="H7761" s="162"/>
      <c r="I7761" s="163"/>
    </row>
    <row r="7762" spans="3:9" ht="15.95" customHeight="1" x14ac:dyDescent="0.25">
      <c r="C7762" s="122"/>
      <c r="D7762" s="117" t="s">
        <v>366</v>
      </c>
      <c r="E7762" s="123" t="s">
        <v>367</v>
      </c>
      <c r="F7762" s="239" t="s">
        <v>368</v>
      </c>
      <c r="G7762" s="242">
        <v>3.5999999999999997E-2</v>
      </c>
      <c r="H7762" s="243">
        <f>VLOOKUP(D7762,Upah,8,FALSE)</f>
        <v>125000</v>
      </c>
      <c r="I7762" s="126">
        <f>G7762*H7762</f>
        <v>4500</v>
      </c>
    </row>
    <row r="7763" spans="3:9" ht="15.95" customHeight="1" x14ac:dyDescent="0.25">
      <c r="C7763" s="122"/>
      <c r="D7763" s="117" t="s">
        <v>413</v>
      </c>
      <c r="E7763" s="123" t="s">
        <v>414</v>
      </c>
      <c r="F7763" s="239" t="s">
        <v>368</v>
      </c>
      <c r="G7763" s="242">
        <v>0.06</v>
      </c>
      <c r="H7763" s="243">
        <f>VLOOKUP(D7763,Upah,8,FALSE)</f>
        <v>150000</v>
      </c>
      <c r="I7763" s="126">
        <f>G7763*H7763</f>
        <v>9000</v>
      </c>
    </row>
    <row r="7764" spans="3:9" ht="15.95" customHeight="1" x14ac:dyDescent="0.25">
      <c r="C7764" s="122"/>
      <c r="D7764" s="117" t="s">
        <v>429</v>
      </c>
      <c r="E7764" s="123" t="s">
        <v>372</v>
      </c>
      <c r="F7764" s="239" t="s">
        <v>368</v>
      </c>
      <c r="G7764" s="242">
        <v>6.0000000000000001E-3</v>
      </c>
      <c r="H7764" s="243">
        <f>VLOOKUP(D7764,Upah,8,FALSE)</f>
        <v>165000</v>
      </c>
      <c r="I7764" s="126">
        <f>G7764*H7764</f>
        <v>990</v>
      </c>
    </row>
    <row r="7765" spans="3:9" ht="15.95" customHeight="1" thickBot="1" x14ac:dyDescent="0.3">
      <c r="C7765" s="122"/>
      <c r="D7765" s="117" t="s">
        <v>373</v>
      </c>
      <c r="E7765" s="123" t="s">
        <v>374</v>
      </c>
      <c r="F7765" s="239" t="s">
        <v>368</v>
      </c>
      <c r="G7765" s="242">
        <v>2E-3</v>
      </c>
      <c r="H7765" s="243">
        <f>VLOOKUP(D7765,Upah,8,FALSE)</f>
        <v>170000</v>
      </c>
      <c r="I7765" s="126">
        <f>G7765*H7765</f>
        <v>340</v>
      </c>
    </row>
    <row r="7766" spans="3:9" ht="15.95" customHeight="1" thickBot="1" x14ac:dyDescent="0.3">
      <c r="C7766" s="132"/>
      <c r="D7766" s="133"/>
      <c r="E7766" s="134"/>
      <c r="F7766" s="134"/>
      <c r="G7766" s="135" t="s">
        <v>375</v>
      </c>
      <c r="H7766" s="136"/>
      <c r="I7766" s="137">
        <f>SUM(I7762:I7765)</f>
        <v>14830</v>
      </c>
    </row>
    <row r="7767" spans="3:9" ht="15.95" customHeight="1" x14ac:dyDescent="0.25">
      <c r="C7767" s="116" t="s">
        <v>376</v>
      </c>
      <c r="D7767" s="117" t="s">
        <v>377</v>
      </c>
      <c r="E7767" s="118"/>
      <c r="F7767" s="118"/>
      <c r="G7767" s="165"/>
      <c r="H7767" s="144"/>
      <c r="I7767" s="126"/>
    </row>
    <row r="7768" spans="3:9" ht="15.95" customHeight="1" x14ac:dyDescent="0.25">
      <c r="C7768" s="122"/>
      <c r="D7768" s="117" t="s">
        <v>1611</v>
      </c>
      <c r="E7768" s="118"/>
      <c r="F7768" s="239" t="s">
        <v>75</v>
      </c>
      <c r="G7768" s="242">
        <v>1.2</v>
      </c>
      <c r="H7768" s="144">
        <f>VLOOKUP(D7768,Bahan,6,FALSE)</f>
        <v>11200</v>
      </c>
      <c r="I7768" s="126">
        <f>G7768*H7768</f>
        <v>13440</v>
      </c>
    </row>
    <row r="7769" spans="3:9" ht="15.95" customHeight="1" thickBot="1" x14ac:dyDescent="0.3">
      <c r="C7769" s="122"/>
      <c r="D7769" s="117" t="s">
        <v>1535</v>
      </c>
      <c r="E7769" s="118"/>
      <c r="F7769" s="239" t="s">
        <v>1147</v>
      </c>
      <c r="G7769" s="242">
        <v>35</v>
      </c>
      <c r="H7769" s="144">
        <f>I7768/100</f>
        <v>134.4</v>
      </c>
      <c r="I7769" s="126">
        <f>G7769*H7769</f>
        <v>4704</v>
      </c>
    </row>
    <row r="7770" spans="3:9" ht="15.95" customHeight="1" thickBot="1" x14ac:dyDescent="0.3">
      <c r="C7770" s="132"/>
      <c r="D7770" s="133"/>
      <c r="E7770" s="134"/>
      <c r="F7770" s="134"/>
      <c r="G7770" s="135" t="s">
        <v>386</v>
      </c>
      <c r="H7770" s="136"/>
      <c r="I7770" s="137">
        <f>SUM(I7768:I7769)</f>
        <v>18144</v>
      </c>
    </row>
    <row r="7771" spans="3:9" ht="15.95" customHeight="1" thickBot="1" x14ac:dyDescent="0.3">
      <c r="C7771" s="116" t="s">
        <v>387</v>
      </c>
      <c r="D7771" s="117" t="s">
        <v>388</v>
      </c>
      <c r="E7771" s="118"/>
      <c r="F7771" s="118"/>
      <c r="G7771" s="165"/>
      <c r="H7771" s="144">
        <f>IF(AND(D7771&lt;&gt;"",F7771&lt;&gt;""),IF(C7771="",IF(F7771="OH",VLOOKUP(D7771,[1]UPAH!$B$3:$G$32,7,0),VLOOKUP(D7771,[1]BAHAN!$A$2:$D$3,4,0)),0),0)</f>
        <v>0</v>
      </c>
      <c r="I7771" s="126">
        <f>G7771*H7771</f>
        <v>0</v>
      </c>
    </row>
    <row r="7772" spans="3:9" ht="15.95" customHeight="1" thickBot="1" x14ac:dyDescent="0.3">
      <c r="C7772" s="132"/>
      <c r="D7772" s="133"/>
      <c r="E7772" s="134"/>
      <c r="F7772" s="134"/>
      <c r="G7772" s="135" t="s">
        <v>389</v>
      </c>
      <c r="H7772" s="136"/>
      <c r="I7772" s="137">
        <f>I7771</f>
        <v>0</v>
      </c>
    </row>
    <row r="7773" spans="3:9" ht="15.95" customHeight="1" x14ac:dyDescent="0.25">
      <c r="C7773" s="158" t="s">
        <v>390</v>
      </c>
      <c r="D7773" s="159" t="s">
        <v>391</v>
      </c>
      <c r="E7773" s="160"/>
      <c r="F7773" s="160"/>
      <c r="G7773" s="161"/>
      <c r="H7773" s="162">
        <f>IF(AND(D7773&lt;&gt;"",F7773&lt;&gt;""),IF(C7773="",IF(F7773="OH",VLOOKUP(D7773,[1]UPAH!$B$3:$G$32,7,0),VLOOKUP(D7773,[1]BAHAN!$A$2:$D$3,4,0)),0),0)</f>
        <v>0</v>
      </c>
      <c r="I7773" s="126">
        <f>SUM(I7762:I7772)/2</f>
        <v>32974</v>
      </c>
    </row>
    <row r="7774" spans="3:9" ht="15.95" customHeight="1" thickBot="1" x14ac:dyDescent="0.3">
      <c r="C7774" s="147" t="s">
        <v>392</v>
      </c>
      <c r="D7774" s="148" t="s">
        <v>393</v>
      </c>
      <c r="E7774" s="149"/>
      <c r="F7774" s="149"/>
      <c r="G7774" s="164">
        <v>0.1</v>
      </c>
      <c r="H7774" s="151"/>
      <c r="I7774" s="146">
        <f>G7774*I7773</f>
        <v>3297.4</v>
      </c>
    </row>
    <row r="7775" spans="3:9" ht="15.95" customHeight="1" thickBot="1" x14ac:dyDescent="0.3">
      <c r="C7775" s="111" t="s">
        <v>394</v>
      </c>
      <c r="D7775" s="112" t="s">
        <v>395</v>
      </c>
      <c r="E7775" s="134"/>
      <c r="F7775" s="134"/>
      <c r="G7775" s="156"/>
      <c r="H7775" s="136">
        <f>IF(AND(D7775&lt;&gt;"",F7775&lt;&gt;""),IF(C7775="",IF(F7775="OH",VLOOKUP(D7775,[1]UPAH!$B$3:$G$32,7,0),VLOOKUP(D7775,[1]BAHAN!$A$2:$D$3,4,0)),0),0)</f>
        <v>0</v>
      </c>
      <c r="I7775" s="137">
        <f>ROUNDDOWN(I7773+I7774,0)</f>
        <v>36271</v>
      </c>
    </row>
    <row r="7776" spans="3:9" ht="15.95" customHeight="1" x14ac:dyDescent="0.25">
      <c r="C7776" s="109"/>
      <c r="D7776" s="109"/>
      <c r="G7776" s="157"/>
    </row>
    <row r="7777" spans="2:10" ht="15.95" customHeight="1" thickBot="1" x14ac:dyDescent="0.3">
      <c r="B7777" s="109" t="s">
        <v>1612</v>
      </c>
      <c r="C7777" s="104" t="s">
        <v>1613</v>
      </c>
      <c r="G7777" s="157"/>
      <c r="J7777" s="110">
        <f>I7793</f>
        <v>59218</v>
      </c>
    </row>
    <row r="7778" spans="2:10" ht="15.95" customHeight="1" thickBot="1" x14ac:dyDescent="0.3">
      <c r="C7778" s="111" t="s">
        <v>328</v>
      </c>
      <c r="D7778" s="112" t="s">
        <v>359</v>
      </c>
      <c r="E7778" s="113" t="s">
        <v>360</v>
      </c>
      <c r="F7778" s="113" t="s">
        <v>330</v>
      </c>
      <c r="G7778" s="114" t="s">
        <v>361</v>
      </c>
      <c r="H7778" s="112" t="s">
        <v>362</v>
      </c>
      <c r="I7778" s="115" t="s">
        <v>363</v>
      </c>
    </row>
    <row r="7779" spans="2:10" ht="15.95" customHeight="1" x14ac:dyDescent="0.25">
      <c r="C7779" s="158" t="s">
        <v>364</v>
      </c>
      <c r="D7779" s="159" t="s">
        <v>365</v>
      </c>
      <c r="E7779" s="160"/>
      <c r="F7779" s="160"/>
      <c r="G7779" s="161"/>
      <c r="H7779" s="162"/>
      <c r="I7779" s="163"/>
    </row>
    <row r="7780" spans="2:10" ht="15.95" customHeight="1" x14ac:dyDescent="0.25">
      <c r="C7780" s="122"/>
      <c r="D7780" s="117" t="s">
        <v>366</v>
      </c>
      <c r="E7780" s="123" t="s">
        <v>367</v>
      </c>
      <c r="F7780" s="239" t="s">
        <v>368</v>
      </c>
      <c r="G7780" s="242">
        <v>5.3999999999999999E-2</v>
      </c>
      <c r="H7780" s="243">
        <f>VLOOKUP(D7780,Upah,8,FALSE)</f>
        <v>125000</v>
      </c>
      <c r="I7780" s="126">
        <f>G7780*H7780</f>
        <v>6750</v>
      </c>
    </row>
    <row r="7781" spans="2:10" ht="15.95" customHeight="1" x14ac:dyDescent="0.25">
      <c r="C7781" s="122"/>
      <c r="D7781" s="117" t="s">
        <v>413</v>
      </c>
      <c r="E7781" s="123" t="s">
        <v>414</v>
      </c>
      <c r="F7781" s="239" t="s">
        <v>368</v>
      </c>
      <c r="G7781" s="242">
        <v>0.09</v>
      </c>
      <c r="H7781" s="243">
        <f>VLOOKUP(D7781,Upah,8,FALSE)</f>
        <v>150000</v>
      </c>
      <c r="I7781" s="126">
        <f>G7781*H7781</f>
        <v>13500</v>
      </c>
    </row>
    <row r="7782" spans="2:10" ht="15.95" customHeight="1" x14ac:dyDescent="0.25">
      <c r="C7782" s="122"/>
      <c r="D7782" s="117" t="s">
        <v>429</v>
      </c>
      <c r="E7782" s="123" t="s">
        <v>372</v>
      </c>
      <c r="F7782" s="239" t="s">
        <v>368</v>
      </c>
      <c r="G7782" s="242">
        <v>8.9999999999999993E-3</v>
      </c>
      <c r="H7782" s="243">
        <f>VLOOKUP(D7782,Upah,8,FALSE)</f>
        <v>165000</v>
      </c>
      <c r="I7782" s="126">
        <f>G7782*H7782</f>
        <v>1485</v>
      </c>
    </row>
    <row r="7783" spans="2:10" ht="15.95" customHeight="1" thickBot="1" x14ac:dyDescent="0.3">
      <c r="C7783" s="122"/>
      <c r="D7783" s="117" t="s">
        <v>373</v>
      </c>
      <c r="E7783" s="123" t="s">
        <v>374</v>
      </c>
      <c r="F7783" s="239" t="s">
        <v>368</v>
      </c>
      <c r="G7783" s="242">
        <v>3.0000000000000001E-3</v>
      </c>
      <c r="H7783" s="243">
        <f>VLOOKUP(D7783,Upah,8,FALSE)</f>
        <v>170000</v>
      </c>
      <c r="I7783" s="126">
        <f>G7783*H7783</f>
        <v>510</v>
      </c>
    </row>
    <row r="7784" spans="2:10" ht="15.95" customHeight="1" thickBot="1" x14ac:dyDescent="0.3">
      <c r="C7784" s="132"/>
      <c r="D7784" s="133"/>
      <c r="E7784" s="134"/>
      <c r="F7784" s="134"/>
      <c r="G7784" s="135" t="s">
        <v>375</v>
      </c>
      <c r="H7784" s="136"/>
      <c r="I7784" s="137">
        <f>SUM(I7780:I7783)</f>
        <v>22245</v>
      </c>
    </row>
    <row r="7785" spans="2:10" ht="15.95" customHeight="1" x14ac:dyDescent="0.25">
      <c r="C7785" s="116" t="s">
        <v>376</v>
      </c>
      <c r="D7785" s="117" t="s">
        <v>377</v>
      </c>
      <c r="E7785" s="118"/>
      <c r="F7785" s="118"/>
      <c r="G7785" s="165"/>
      <c r="H7785" s="144"/>
      <c r="I7785" s="126"/>
    </row>
    <row r="7786" spans="2:10" ht="15.95" customHeight="1" x14ac:dyDescent="0.25">
      <c r="C7786" s="122"/>
      <c r="D7786" s="117" t="s">
        <v>1614</v>
      </c>
      <c r="E7786" s="118"/>
      <c r="F7786" s="239" t="s">
        <v>75</v>
      </c>
      <c r="G7786" s="242">
        <v>1.2</v>
      </c>
      <c r="H7786" s="144">
        <f>VLOOKUP(D7786,Bahan,6,FALSE)</f>
        <v>19500</v>
      </c>
      <c r="I7786" s="126">
        <f>G7786*H7786</f>
        <v>23400</v>
      </c>
    </row>
    <row r="7787" spans="2:10" ht="15.95" customHeight="1" thickBot="1" x14ac:dyDescent="0.3">
      <c r="C7787" s="122"/>
      <c r="D7787" s="117" t="s">
        <v>1535</v>
      </c>
      <c r="E7787" s="118"/>
      <c r="F7787" s="239" t="s">
        <v>1147</v>
      </c>
      <c r="G7787" s="242">
        <v>35</v>
      </c>
      <c r="H7787" s="144">
        <f>I7786/100</f>
        <v>234</v>
      </c>
      <c r="I7787" s="126">
        <f>G7787*H7787</f>
        <v>8190</v>
      </c>
    </row>
    <row r="7788" spans="2:10" ht="15.95" customHeight="1" thickBot="1" x14ac:dyDescent="0.3">
      <c r="C7788" s="132"/>
      <c r="D7788" s="133"/>
      <c r="E7788" s="134"/>
      <c r="F7788" s="134"/>
      <c r="G7788" s="135" t="s">
        <v>386</v>
      </c>
      <c r="H7788" s="136"/>
      <c r="I7788" s="137">
        <f>SUM(I7786:I7787)</f>
        <v>31590</v>
      </c>
    </row>
    <row r="7789" spans="2:10" ht="15.95" customHeight="1" thickBot="1" x14ac:dyDescent="0.3">
      <c r="C7789" s="116" t="s">
        <v>387</v>
      </c>
      <c r="D7789" s="117" t="s">
        <v>388</v>
      </c>
      <c r="E7789" s="118"/>
      <c r="F7789" s="118"/>
      <c r="G7789" s="165"/>
      <c r="H7789" s="144">
        <f>IF(AND(D7789&lt;&gt;"",F7789&lt;&gt;""),IF(C7789="",IF(F7789="OH",VLOOKUP(D7789,[1]UPAH!$B$3:$G$32,7,0),VLOOKUP(D7789,[1]BAHAN!$A$2:$D$3,4,0)),0),0)</f>
        <v>0</v>
      </c>
      <c r="I7789" s="126">
        <f>G7789*H7789</f>
        <v>0</v>
      </c>
    </row>
    <row r="7790" spans="2:10" ht="15.95" customHeight="1" thickBot="1" x14ac:dyDescent="0.3">
      <c r="C7790" s="132"/>
      <c r="D7790" s="133"/>
      <c r="E7790" s="134"/>
      <c r="F7790" s="134"/>
      <c r="G7790" s="135" t="s">
        <v>389</v>
      </c>
      <c r="H7790" s="136"/>
      <c r="I7790" s="137">
        <f>I7789</f>
        <v>0</v>
      </c>
    </row>
    <row r="7791" spans="2:10" ht="15.95" customHeight="1" x14ac:dyDescent="0.25">
      <c r="C7791" s="158" t="s">
        <v>390</v>
      </c>
      <c r="D7791" s="159" t="s">
        <v>391</v>
      </c>
      <c r="E7791" s="160"/>
      <c r="F7791" s="160"/>
      <c r="G7791" s="161"/>
      <c r="H7791" s="162">
        <f>IF(AND(D7791&lt;&gt;"",F7791&lt;&gt;""),IF(C7791="",IF(F7791="OH",VLOOKUP(D7791,[1]UPAH!$B$3:$G$32,7,0),VLOOKUP(D7791,[1]BAHAN!$A$2:$D$3,4,0)),0),0)</f>
        <v>0</v>
      </c>
      <c r="I7791" s="126">
        <f>SUM(I7780:I7790)/2</f>
        <v>53835</v>
      </c>
    </row>
    <row r="7792" spans="2:10" ht="15.95" customHeight="1" thickBot="1" x14ac:dyDescent="0.3">
      <c r="C7792" s="147" t="s">
        <v>392</v>
      </c>
      <c r="D7792" s="148" t="s">
        <v>393</v>
      </c>
      <c r="E7792" s="149"/>
      <c r="F7792" s="149"/>
      <c r="G7792" s="164">
        <v>0.1</v>
      </c>
      <c r="H7792" s="151"/>
      <c r="I7792" s="146">
        <f>G7792*I7791</f>
        <v>5383.5</v>
      </c>
    </row>
    <row r="7793" spans="2:10" ht="15.95" customHeight="1" thickBot="1" x14ac:dyDescent="0.3">
      <c r="C7793" s="111" t="s">
        <v>394</v>
      </c>
      <c r="D7793" s="112" t="s">
        <v>395</v>
      </c>
      <c r="E7793" s="134"/>
      <c r="F7793" s="134"/>
      <c r="G7793" s="156"/>
      <c r="H7793" s="136">
        <f>IF(AND(D7793&lt;&gt;"",F7793&lt;&gt;""),IF(C7793="",IF(F7793="OH",VLOOKUP(D7793,[1]UPAH!$B$3:$G$32,7,0),VLOOKUP(D7793,[1]BAHAN!$A$2:$D$3,4,0)),0),0)</f>
        <v>0</v>
      </c>
      <c r="I7793" s="137">
        <f>ROUNDDOWN(I7791+I7792,0)</f>
        <v>59218</v>
      </c>
    </row>
    <row r="7794" spans="2:10" ht="15.95" customHeight="1" x14ac:dyDescent="0.25">
      <c r="C7794" s="109"/>
      <c r="D7794" s="109"/>
      <c r="G7794" s="157"/>
    </row>
    <row r="7795" spans="2:10" ht="15.95" customHeight="1" thickBot="1" x14ac:dyDescent="0.3">
      <c r="B7795" s="109" t="s">
        <v>1615</v>
      </c>
      <c r="C7795" s="104" t="s">
        <v>1616</v>
      </c>
      <c r="G7795" s="157"/>
      <c r="J7795" s="110">
        <f>I7811</f>
        <v>69019</v>
      </c>
    </row>
    <row r="7796" spans="2:10" ht="15.95" customHeight="1" thickBot="1" x14ac:dyDescent="0.3">
      <c r="C7796" s="111" t="s">
        <v>328</v>
      </c>
      <c r="D7796" s="112" t="s">
        <v>359</v>
      </c>
      <c r="E7796" s="113" t="s">
        <v>360</v>
      </c>
      <c r="F7796" s="113" t="s">
        <v>330</v>
      </c>
      <c r="G7796" s="114" t="s">
        <v>361</v>
      </c>
      <c r="H7796" s="112" t="s">
        <v>362</v>
      </c>
      <c r="I7796" s="115" t="s">
        <v>363</v>
      </c>
    </row>
    <row r="7797" spans="2:10" ht="15.95" customHeight="1" x14ac:dyDescent="0.25">
      <c r="C7797" s="158" t="s">
        <v>364</v>
      </c>
      <c r="D7797" s="159" t="s">
        <v>365</v>
      </c>
      <c r="E7797" s="160"/>
      <c r="F7797" s="160"/>
      <c r="G7797" s="161"/>
      <c r="H7797" s="162"/>
      <c r="I7797" s="163"/>
    </row>
    <row r="7798" spans="2:10" ht="15.95" customHeight="1" x14ac:dyDescent="0.25">
      <c r="C7798" s="122"/>
      <c r="D7798" s="117" t="s">
        <v>366</v>
      </c>
      <c r="E7798" s="123" t="s">
        <v>367</v>
      </c>
      <c r="F7798" s="239" t="s">
        <v>368</v>
      </c>
      <c r="G7798" s="242">
        <v>5.3999999999999999E-2</v>
      </c>
      <c r="H7798" s="243">
        <f>VLOOKUP(D7798,Upah,8,FALSE)</f>
        <v>125000</v>
      </c>
      <c r="I7798" s="126">
        <f>G7798*H7798</f>
        <v>6750</v>
      </c>
    </row>
    <row r="7799" spans="2:10" ht="15.95" customHeight="1" x14ac:dyDescent="0.25">
      <c r="C7799" s="122"/>
      <c r="D7799" s="117" t="s">
        <v>413</v>
      </c>
      <c r="E7799" s="123" t="s">
        <v>414</v>
      </c>
      <c r="F7799" s="239" t="s">
        <v>368</v>
      </c>
      <c r="G7799" s="242">
        <v>0.09</v>
      </c>
      <c r="H7799" s="243">
        <f>VLOOKUP(D7799,Upah,8,FALSE)</f>
        <v>150000</v>
      </c>
      <c r="I7799" s="126">
        <f>G7799*H7799</f>
        <v>13500</v>
      </c>
    </row>
    <row r="7800" spans="2:10" ht="15.95" customHeight="1" x14ac:dyDescent="0.25">
      <c r="C7800" s="122"/>
      <c r="D7800" s="117" t="s">
        <v>429</v>
      </c>
      <c r="E7800" s="123" t="s">
        <v>372</v>
      </c>
      <c r="F7800" s="239" t="s">
        <v>368</v>
      </c>
      <c r="G7800" s="242">
        <v>8.9999999999999993E-3</v>
      </c>
      <c r="H7800" s="243">
        <f>VLOOKUP(D7800,Upah,8,FALSE)</f>
        <v>165000</v>
      </c>
      <c r="I7800" s="126">
        <f>G7800*H7800</f>
        <v>1485</v>
      </c>
    </row>
    <row r="7801" spans="2:10" ht="15.95" customHeight="1" thickBot="1" x14ac:dyDescent="0.3">
      <c r="C7801" s="122"/>
      <c r="D7801" s="117" t="s">
        <v>373</v>
      </c>
      <c r="E7801" s="123" t="s">
        <v>374</v>
      </c>
      <c r="F7801" s="239" t="s">
        <v>368</v>
      </c>
      <c r="G7801" s="242">
        <v>3.0000000000000001E-3</v>
      </c>
      <c r="H7801" s="243">
        <f>VLOOKUP(D7801,Upah,8,FALSE)</f>
        <v>170000</v>
      </c>
      <c r="I7801" s="126">
        <f>G7801*H7801</f>
        <v>510</v>
      </c>
    </row>
    <row r="7802" spans="2:10" ht="15.95" customHeight="1" thickBot="1" x14ac:dyDescent="0.3">
      <c r="C7802" s="132"/>
      <c r="D7802" s="133"/>
      <c r="E7802" s="134"/>
      <c r="F7802" s="134"/>
      <c r="G7802" s="135" t="s">
        <v>375</v>
      </c>
      <c r="H7802" s="136"/>
      <c r="I7802" s="137">
        <f>SUM(I7798:I7801)</f>
        <v>22245</v>
      </c>
    </row>
    <row r="7803" spans="2:10" ht="15.95" customHeight="1" x14ac:dyDescent="0.25">
      <c r="C7803" s="116" t="s">
        <v>376</v>
      </c>
      <c r="D7803" s="117" t="s">
        <v>377</v>
      </c>
      <c r="E7803" s="118"/>
      <c r="F7803" s="118"/>
      <c r="G7803" s="165"/>
      <c r="H7803" s="144"/>
      <c r="I7803" s="126"/>
    </row>
    <row r="7804" spans="2:10" ht="15.95" customHeight="1" x14ac:dyDescent="0.25">
      <c r="C7804" s="122"/>
      <c r="D7804" s="117" t="s">
        <v>1617</v>
      </c>
      <c r="E7804" s="118"/>
      <c r="F7804" s="239" t="s">
        <v>75</v>
      </c>
      <c r="G7804" s="242">
        <v>1.2</v>
      </c>
      <c r="H7804" s="144">
        <f>VLOOKUP(D7804,Bahan,6,FALSE)</f>
        <v>25000</v>
      </c>
      <c r="I7804" s="126">
        <f>G7804*H7804</f>
        <v>30000</v>
      </c>
    </row>
    <row r="7805" spans="2:10" ht="15.95" customHeight="1" thickBot="1" x14ac:dyDescent="0.3">
      <c r="C7805" s="122"/>
      <c r="D7805" s="117" t="s">
        <v>1535</v>
      </c>
      <c r="E7805" s="118"/>
      <c r="F7805" s="239" t="s">
        <v>1147</v>
      </c>
      <c r="G7805" s="242">
        <v>35</v>
      </c>
      <c r="H7805" s="144">
        <f>I7804/100</f>
        <v>300</v>
      </c>
      <c r="I7805" s="126">
        <f>G7805*H7805</f>
        <v>10500</v>
      </c>
    </row>
    <row r="7806" spans="2:10" ht="15.95" customHeight="1" thickBot="1" x14ac:dyDescent="0.3">
      <c r="C7806" s="132"/>
      <c r="D7806" s="133"/>
      <c r="E7806" s="134"/>
      <c r="F7806" s="134"/>
      <c r="G7806" s="135" t="s">
        <v>386</v>
      </c>
      <c r="H7806" s="136"/>
      <c r="I7806" s="137">
        <f>SUM(I7804:I7805)</f>
        <v>40500</v>
      </c>
    </row>
    <row r="7807" spans="2:10" ht="15.95" customHeight="1" thickBot="1" x14ac:dyDescent="0.3">
      <c r="C7807" s="116" t="s">
        <v>387</v>
      </c>
      <c r="D7807" s="117" t="s">
        <v>388</v>
      </c>
      <c r="E7807" s="118"/>
      <c r="F7807" s="118"/>
      <c r="G7807" s="165"/>
      <c r="H7807" s="144">
        <f>IF(AND(D7807&lt;&gt;"",F7807&lt;&gt;""),IF(C7807="",IF(F7807="OH",VLOOKUP(D7807,[1]UPAH!$B$3:$G$32,7,0),VLOOKUP(D7807,[1]BAHAN!$A$2:$D$3,4,0)),0),0)</f>
        <v>0</v>
      </c>
      <c r="I7807" s="126">
        <f>G7807*H7807</f>
        <v>0</v>
      </c>
    </row>
    <row r="7808" spans="2:10" ht="15.95" customHeight="1" thickBot="1" x14ac:dyDescent="0.3">
      <c r="C7808" s="132"/>
      <c r="D7808" s="133"/>
      <c r="E7808" s="134"/>
      <c r="F7808" s="134"/>
      <c r="G7808" s="135" t="s">
        <v>389</v>
      </c>
      <c r="H7808" s="136"/>
      <c r="I7808" s="137">
        <f>I7807</f>
        <v>0</v>
      </c>
    </row>
    <row r="7809" spans="2:10" ht="15.95" customHeight="1" x14ac:dyDescent="0.25">
      <c r="C7809" s="158" t="s">
        <v>390</v>
      </c>
      <c r="D7809" s="159" t="s">
        <v>391</v>
      </c>
      <c r="E7809" s="160"/>
      <c r="F7809" s="160"/>
      <c r="G7809" s="161"/>
      <c r="H7809" s="162">
        <f>IF(AND(D7809&lt;&gt;"",F7809&lt;&gt;""),IF(C7809="",IF(F7809="OH",VLOOKUP(D7809,[1]UPAH!$B$3:$G$32,7,0),VLOOKUP(D7809,[1]BAHAN!$A$2:$D$3,4,0)),0),0)</f>
        <v>0</v>
      </c>
      <c r="I7809" s="126">
        <f>SUM(I7798:I7808)/2</f>
        <v>62745</v>
      </c>
    </row>
    <row r="7810" spans="2:10" ht="15.95" customHeight="1" thickBot="1" x14ac:dyDescent="0.3">
      <c r="C7810" s="147" t="s">
        <v>392</v>
      </c>
      <c r="D7810" s="148" t="s">
        <v>393</v>
      </c>
      <c r="E7810" s="149"/>
      <c r="F7810" s="149"/>
      <c r="G7810" s="164">
        <v>0.1</v>
      </c>
      <c r="H7810" s="151"/>
      <c r="I7810" s="146">
        <f>G7810*I7809</f>
        <v>6274.5</v>
      </c>
    </row>
    <row r="7811" spans="2:10" ht="15.95" customHeight="1" thickBot="1" x14ac:dyDescent="0.3">
      <c r="C7811" s="111" t="s">
        <v>394</v>
      </c>
      <c r="D7811" s="112" t="s">
        <v>395</v>
      </c>
      <c r="E7811" s="134"/>
      <c r="F7811" s="134"/>
      <c r="G7811" s="156"/>
      <c r="H7811" s="136">
        <f>IF(AND(D7811&lt;&gt;"",F7811&lt;&gt;""),IF(C7811="",IF(F7811="OH",VLOOKUP(D7811,[1]UPAH!$B$3:$G$32,7,0),VLOOKUP(D7811,[1]BAHAN!$A$2:$D$3,4,0)),0),0)</f>
        <v>0</v>
      </c>
      <c r="I7811" s="137">
        <f>ROUNDDOWN(I7809+I7810,0)</f>
        <v>69019</v>
      </c>
    </row>
    <row r="7812" spans="2:10" ht="15.95" customHeight="1" x14ac:dyDescent="0.25">
      <c r="C7812" s="109"/>
      <c r="D7812" s="109"/>
      <c r="G7812" s="157"/>
    </row>
    <row r="7813" spans="2:10" ht="15.95" customHeight="1" thickBot="1" x14ac:dyDescent="0.3">
      <c r="B7813" s="109" t="s">
        <v>1618</v>
      </c>
      <c r="C7813" s="104" t="s">
        <v>1619</v>
      </c>
      <c r="G7813" s="157"/>
      <c r="J7813" s="110">
        <f>I7829</f>
        <v>101653</v>
      </c>
    </row>
    <row r="7814" spans="2:10" ht="15.95" customHeight="1" thickBot="1" x14ac:dyDescent="0.3">
      <c r="C7814" s="111" t="s">
        <v>328</v>
      </c>
      <c r="D7814" s="112" t="s">
        <v>359</v>
      </c>
      <c r="E7814" s="113" t="s">
        <v>360</v>
      </c>
      <c r="F7814" s="113" t="s">
        <v>330</v>
      </c>
      <c r="G7814" s="114" t="s">
        <v>361</v>
      </c>
      <c r="H7814" s="112" t="s">
        <v>362</v>
      </c>
      <c r="I7814" s="115" t="s">
        <v>363</v>
      </c>
    </row>
    <row r="7815" spans="2:10" ht="15.95" customHeight="1" x14ac:dyDescent="0.25">
      <c r="C7815" s="158" t="s">
        <v>364</v>
      </c>
      <c r="D7815" s="159" t="s">
        <v>365</v>
      </c>
      <c r="E7815" s="160"/>
      <c r="F7815" s="160"/>
      <c r="G7815" s="161"/>
      <c r="H7815" s="162"/>
      <c r="I7815" s="163"/>
    </row>
    <row r="7816" spans="2:10" ht="15.95" customHeight="1" x14ac:dyDescent="0.25">
      <c r="C7816" s="122"/>
      <c r="D7816" s="117" t="s">
        <v>366</v>
      </c>
      <c r="E7816" s="123" t="s">
        <v>367</v>
      </c>
      <c r="F7816" s="239" t="s">
        <v>368</v>
      </c>
      <c r="G7816" s="242">
        <v>8.1000000000000003E-2</v>
      </c>
      <c r="H7816" s="243">
        <f>VLOOKUP(D7816,Upah,8,FALSE)</f>
        <v>125000</v>
      </c>
      <c r="I7816" s="126">
        <f>G7816*H7816</f>
        <v>10125</v>
      </c>
    </row>
    <row r="7817" spans="2:10" ht="15.95" customHeight="1" x14ac:dyDescent="0.25">
      <c r="C7817" s="122"/>
      <c r="D7817" s="117" t="s">
        <v>413</v>
      </c>
      <c r="E7817" s="123" t="s">
        <v>414</v>
      </c>
      <c r="F7817" s="239" t="s">
        <v>368</v>
      </c>
      <c r="G7817" s="242">
        <v>0.13500000000000001</v>
      </c>
      <c r="H7817" s="243">
        <f>VLOOKUP(D7817,Upah,8,FALSE)</f>
        <v>150000</v>
      </c>
      <c r="I7817" s="126">
        <f>G7817*H7817</f>
        <v>20250</v>
      </c>
    </row>
    <row r="7818" spans="2:10" ht="15.95" customHeight="1" x14ac:dyDescent="0.25">
      <c r="C7818" s="122"/>
      <c r="D7818" s="117" t="s">
        <v>429</v>
      </c>
      <c r="E7818" s="123" t="s">
        <v>372</v>
      </c>
      <c r="F7818" s="239" t="s">
        <v>368</v>
      </c>
      <c r="G7818" s="242">
        <v>1.35E-2</v>
      </c>
      <c r="H7818" s="243">
        <f>VLOOKUP(D7818,Upah,8,FALSE)</f>
        <v>165000</v>
      </c>
      <c r="I7818" s="126">
        <f>G7818*H7818</f>
        <v>2227.5</v>
      </c>
    </row>
    <row r="7819" spans="2:10" ht="15.95" customHeight="1" thickBot="1" x14ac:dyDescent="0.3">
      <c r="C7819" s="122"/>
      <c r="D7819" s="117" t="s">
        <v>373</v>
      </c>
      <c r="E7819" s="123" t="s">
        <v>374</v>
      </c>
      <c r="F7819" s="239" t="s">
        <v>368</v>
      </c>
      <c r="G7819" s="242">
        <v>4.0000000000000001E-3</v>
      </c>
      <c r="H7819" s="243">
        <f>VLOOKUP(D7819,Upah,8,FALSE)</f>
        <v>170000</v>
      </c>
      <c r="I7819" s="126">
        <f>G7819*H7819</f>
        <v>680</v>
      </c>
    </row>
    <row r="7820" spans="2:10" ht="15.95" customHeight="1" thickBot="1" x14ac:dyDescent="0.3">
      <c r="C7820" s="132"/>
      <c r="D7820" s="133"/>
      <c r="E7820" s="134"/>
      <c r="F7820" s="134"/>
      <c r="G7820" s="135" t="s">
        <v>375</v>
      </c>
      <c r="H7820" s="136"/>
      <c r="I7820" s="137">
        <f>SUM(I7816:I7819)</f>
        <v>33282.5</v>
      </c>
    </row>
    <row r="7821" spans="2:10" ht="15.95" customHeight="1" x14ac:dyDescent="0.25">
      <c r="C7821" s="116" t="s">
        <v>376</v>
      </c>
      <c r="D7821" s="117" t="s">
        <v>377</v>
      </c>
      <c r="E7821" s="118"/>
      <c r="F7821" s="118"/>
      <c r="G7821" s="165"/>
      <c r="H7821" s="144"/>
      <c r="I7821" s="126"/>
    </row>
    <row r="7822" spans="2:10" ht="15.95" customHeight="1" x14ac:dyDescent="0.25">
      <c r="C7822" s="122"/>
      <c r="D7822" s="117" t="s">
        <v>1620</v>
      </c>
      <c r="E7822" s="118"/>
      <c r="F7822" s="239" t="s">
        <v>75</v>
      </c>
      <c r="G7822" s="242">
        <v>1.2</v>
      </c>
      <c r="H7822" s="144">
        <f>VLOOKUP(D7822,Bahan,6,FALSE)</f>
        <v>36500</v>
      </c>
      <c r="I7822" s="126">
        <f>G7822*H7822</f>
        <v>43800</v>
      </c>
    </row>
    <row r="7823" spans="2:10" ht="15.95" customHeight="1" thickBot="1" x14ac:dyDescent="0.3">
      <c r="C7823" s="122"/>
      <c r="D7823" s="117" t="s">
        <v>1535</v>
      </c>
      <c r="E7823" s="118"/>
      <c r="F7823" s="239" t="s">
        <v>1147</v>
      </c>
      <c r="G7823" s="242">
        <v>35</v>
      </c>
      <c r="H7823" s="144">
        <f>I7822/100</f>
        <v>438</v>
      </c>
      <c r="I7823" s="126">
        <f>G7823*H7823</f>
        <v>15330</v>
      </c>
    </row>
    <row r="7824" spans="2:10" ht="15.95" customHeight="1" thickBot="1" x14ac:dyDescent="0.3">
      <c r="C7824" s="132"/>
      <c r="D7824" s="133"/>
      <c r="E7824" s="134"/>
      <c r="F7824" s="134"/>
      <c r="G7824" s="135" t="s">
        <v>386</v>
      </c>
      <c r="H7824" s="136"/>
      <c r="I7824" s="137">
        <f>SUM(I7822:I7823)</f>
        <v>59130</v>
      </c>
    </row>
    <row r="7825" spans="2:10" ht="15.95" customHeight="1" thickBot="1" x14ac:dyDescent="0.3">
      <c r="C7825" s="116" t="s">
        <v>387</v>
      </c>
      <c r="D7825" s="117" t="s">
        <v>388</v>
      </c>
      <c r="E7825" s="118"/>
      <c r="F7825" s="118"/>
      <c r="G7825" s="165"/>
      <c r="H7825" s="144">
        <f>IF(AND(D7825&lt;&gt;"",F7825&lt;&gt;""),IF(C7825="",IF(F7825="OH",VLOOKUP(D7825,[1]UPAH!$B$3:$G$32,7,0),VLOOKUP(D7825,[1]BAHAN!$A$2:$D$3,4,0)),0),0)</f>
        <v>0</v>
      </c>
      <c r="I7825" s="126">
        <f>G7825*H7825</f>
        <v>0</v>
      </c>
    </row>
    <row r="7826" spans="2:10" ht="15.95" customHeight="1" thickBot="1" x14ac:dyDescent="0.3">
      <c r="C7826" s="132"/>
      <c r="D7826" s="133"/>
      <c r="E7826" s="134"/>
      <c r="F7826" s="134"/>
      <c r="G7826" s="135" t="s">
        <v>389</v>
      </c>
      <c r="H7826" s="136"/>
      <c r="I7826" s="137">
        <f>I7825</f>
        <v>0</v>
      </c>
    </row>
    <row r="7827" spans="2:10" ht="15.95" customHeight="1" x14ac:dyDescent="0.25">
      <c r="C7827" s="158" t="s">
        <v>390</v>
      </c>
      <c r="D7827" s="159" t="s">
        <v>391</v>
      </c>
      <c r="E7827" s="160"/>
      <c r="F7827" s="160"/>
      <c r="G7827" s="161"/>
      <c r="H7827" s="162">
        <f>IF(AND(D7827&lt;&gt;"",F7827&lt;&gt;""),IF(C7827="",IF(F7827="OH",VLOOKUP(D7827,[1]UPAH!$B$3:$G$32,7,0),VLOOKUP(D7827,[1]BAHAN!$A$2:$D$3,4,0)),0),0)</f>
        <v>0</v>
      </c>
      <c r="I7827" s="126">
        <f>SUM(I7816:I7826)/2</f>
        <v>92412.5</v>
      </c>
    </row>
    <row r="7828" spans="2:10" ht="15.95" customHeight="1" thickBot="1" x14ac:dyDescent="0.3">
      <c r="C7828" s="147" t="s">
        <v>392</v>
      </c>
      <c r="D7828" s="148" t="s">
        <v>393</v>
      </c>
      <c r="E7828" s="149"/>
      <c r="F7828" s="149"/>
      <c r="G7828" s="164">
        <v>0.1</v>
      </c>
      <c r="H7828" s="151"/>
      <c r="I7828" s="146">
        <f>G7828*I7827</f>
        <v>9241.25</v>
      </c>
    </row>
    <row r="7829" spans="2:10" ht="15.95" customHeight="1" thickBot="1" x14ac:dyDescent="0.3">
      <c r="C7829" s="111" t="s">
        <v>394</v>
      </c>
      <c r="D7829" s="112" t="s">
        <v>395</v>
      </c>
      <c r="E7829" s="134"/>
      <c r="F7829" s="134"/>
      <c r="G7829" s="156"/>
      <c r="H7829" s="136">
        <f>IF(AND(D7829&lt;&gt;"",F7829&lt;&gt;""),IF(C7829="",IF(F7829="OH",VLOOKUP(D7829,[1]UPAH!$B$3:$G$32,7,0),VLOOKUP(D7829,[1]BAHAN!$A$2:$D$3,4,0)),0),0)</f>
        <v>0</v>
      </c>
      <c r="I7829" s="137">
        <f>ROUNDDOWN(I7827+I7828,0)</f>
        <v>101653</v>
      </c>
    </row>
    <row r="7830" spans="2:10" ht="15.95" customHeight="1" x14ac:dyDescent="0.25">
      <c r="C7830" s="109"/>
      <c r="D7830" s="109"/>
      <c r="G7830" s="157"/>
    </row>
    <row r="7831" spans="2:10" ht="15.95" customHeight="1" thickBot="1" x14ac:dyDescent="0.3">
      <c r="B7831" s="109" t="s">
        <v>1621</v>
      </c>
      <c r="C7831" s="104" t="s">
        <v>1622</v>
      </c>
      <c r="G7831" s="157"/>
      <c r="J7831" s="110">
        <f>I7847</f>
        <v>125710</v>
      </c>
    </row>
    <row r="7832" spans="2:10" ht="15.95" customHeight="1" thickBot="1" x14ac:dyDescent="0.3">
      <c r="C7832" s="111" t="s">
        <v>328</v>
      </c>
      <c r="D7832" s="112" t="s">
        <v>359</v>
      </c>
      <c r="E7832" s="113" t="s">
        <v>360</v>
      </c>
      <c r="F7832" s="113" t="s">
        <v>330</v>
      </c>
      <c r="G7832" s="114" t="s">
        <v>361</v>
      </c>
      <c r="H7832" s="112" t="s">
        <v>362</v>
      </c>
      <c r="I7832" s="115" t="s">
        <v>363</v>
      </c>
    </row>
    <row r="7833" spans="2:10" ht="15.95" customHeight="1" x14ac:dyDescent="0.25">
      <c r="C7833" s="158" t="s">
        <v>364</v>
      </c>
      <c r="D7833" s="159" t="s">
        <v>365</v>
      </c>
      <c r="E7833" s="160"/>
      <c r="F7833" s="160"/>
      <c r="G7833" s="161"/>
      <c r="H7833" s="162"/>
      <c r="I7833" s="163"/>
    </row>
    <row r="7834" spans="2:10" ht="15.95" customHeight="1" x14ac:dyDescent="0.25">
      <c r="C7834" s="122"/>
      <c r="D7834" s="117" t="s">
        <v>366</v>
      </c>
      <c r="E7834" s="123" t="s">
        <v>367</v>
      </c>
      <c r="F7834" s="239" t="s">
        <v>368</v>
      </c>
      <c r="G7834" s="242">
        <v>8.1000000000000003E-2</v>
      </c>
      <c r="H7834" s="243">
        <f>VLOOKUP(D7834,Upah,8,FALSE)</f>
        <v>125000</v>
      </c>
      <c r="I7834" s="126">
        <f>G7834*H7834</f>
        <v>10125</v>
      </c>
    </row>
    <row r="7835" spans="2:10" ht="15.95" customHeight="1" x14ac:dyDescent="0.25">
      <c r="C7835" s="122"/>
      <c r="D7835" s="117" t="s">
        <v>413</v>
      </c>
      <c r="E7835" s="123" t="s">
        <v>414</v>
      </c>
      <c r="F7835" s="239" t="s">
        <v>368</v>
      </c>
      <c r="G7835" s="242">
        <v>0.13500000000000001</v>
      </c>
      <c r="H7835" s="243">
        <f>VLOOKUP(D7835,Upah,8,FALSE)</f>
        <v>150000</v>
      </c>
      <c r="I7835" s="126">
        <f>G7835*H7835</f>
        <v>20250</v>
      </c>
    </row>
    <row r="7836" spans="2:10" ht="15.95" customHeight="1" x14ac:dyDescent="0.25">
      <c r="C7836" s="122"/>
      <c r="D7836" s="117" t="s">
        <v>429</v>
      </c>
      <c r="E7836" s="123" t="s">
        <v>372</v>
      </c>
      <c r="F7836" s="239" t="s">
        <v>368</v>
      </c>
      <c r="G7836" s="242">
        <v>1.35E-2</v>
      </c>
      <c r="H7836" s="243">
        <f>VLOOKUP(D7836,Upah,8,FALSE)</f>
        <v>165000</v>
      </c>
      <c r="I7836" s="126">
        <f>G7836*H7836</f>
        <v>2227.5</v>
      </c>
    </row>
    <row r="7837" spans="2:10" ht="15.95" customHeight="1" thickBot="1" x14ac:dyDescent="0.3">
      <c r="C7837" s="122"/>
      <c r="D7837" s="117" t="s">
        <v>373</v>
      </c>
      <c r="E7837" s="123" t="s">
        <v>374</v>
      </c>
      <c r="F7837" s="239" t="s">
        <v>368</v>
      </c>
      <c r="G7837" s="242">
        <v>4.0000000000000001E-3</v>
      </c>
      <c r="H7837" s="243">
        <f>VLOOKUP(D7837,Upah,8,FALSE)</f>
        <v>170000</v>
      </c>
      <c r="I7837" s="126">
        <f>G7837*H7837</f>
        <v>680</v>
      </c>
    </row>
    <row r="7838" spans="2:10" ht="15.95" customHeight="1" thickBot="1" x14ac:dyDescent="0.3">
      <c r="C7838" s="132"/>
      <c r="D7838" s="133"/>
      <c r="E7838" s="134"/>
      <c r="F7838" s="134"/>
      <c r="G7838" s="135" t="s">
        <v>375</v>
      </c>
      <c r="H7838" s="136"/>
      <c r="I7838" s="137">
        <f>SUM(I7834:I7837)</f>
        <v>33282.5</v>
      </c>
    </row>
    <row r="7839" spans="2:10" ht="15.95" customHeight="1" x14ac:dyDescent="0.25">
      <c r="C7839" s="116" t="s">
        <v>376</v>
      </c>
      <c r="D7839" s="117" t="s">
        <v>377</v>
      </c>
      <c r="E7839" s="118"/>
      <c r="F7839" s="118"/>
      <c r="G7839" s="165"/>
      <c r="H7839" s="144"/>
      <c r="I7839" s="126"/>
    </row>
    <row r="7840" spans="2:10" ht="15.95" customHeight="1" x14ac:dyDescent="0.25">
      <c r="C7840" s="122"/>
      <c r="D7840" s="117" t="s">
        <v>1623</v>
      </c>
      <c r="E7840" s="118"/>
      <c r="F7840" s="239" t="s">
        <v>75</v>
      </c>
      <c r="G7840" s="242">
        <v>1.2</v>
      </c>
      <c r="H7840" s="144">
        <f>VLOOKUP(D7840,Bahan,6,FALSE)</f>
        <v>50000</v>
      </c>
      <c r="I7840" s="126">
        <f>G7840*H7840</f>
        <v>60000</v>
      </c>
    </row>
    <row r="7841" spans="2:10" ht="15.95" customHeight="1" thickBot="1" x14ac:dyDescent="0.3">
      <c r="C7841" s="122"/>
      <c r="D7841" s="117" t="s">
        <v>1535</v>
      </c>
      <c r="E7841" s="118"/>
      <c r="F7841" s="239" t="s">
        <v>1147</v>
      </c>
      <c r="G7841" s="242">
        <v>35</v>
      </c>
      <c r="H7841" s="144">
        <f>I7840/100</f>
        <v>600</v>
      </c>
      <c r="I7841" s="126">
        <f>G7841*H7841</f>
        <v>21000</v>
      </c>
    </row>
    <row r="7842" spans="2:10" ht="15.95" customHeight="1" thickBot="1" x14ac:dyDescent="0.3">
      <c r="C7842" s="132"/>
      <c r="D7842" s="133"/>
      <c r="E7842" s="134"/>
      <c r="F7842" s="134"/>
      <c r="G7842" s="135" t="s">
        <v>386</v>
      </c>
      <c r="H7842" s="136"/>
      <c r="I7842" s="137">
        <f>SUM(I7840:I7841)</f>
        <v>81000</v>
      </c>
    </row>
    <row r="7843" spans="2:10" ht="15.95" customHeight="1" thickBot="1" x14ac:dyDescent="0.3">
      <c r="C7843" s="116" t="s">
        <v>387</v>
      </c>
      <c r="D7843" s="117" t="s">
        <v>388</v>
      </c>
      <c r="E7843" s="118"/>
      <c r="F7843" s="118"/>
      <c r="G7843" s="165"/>
      <c r="H7843" s="144">
        <f>IF(AND(D7843&lt;&gt;"",F7843&lt;&gt;""),IF(C7843="",IF(F7843="OH",VLOOKUP(D7843,[1]UPAH!$B$3:$G$32,7,0),VLOOKUP(D7843,[1]BAHAN!$A$2:$D$3,4,0)),0),0)</f>
        <v>0</v>
      </c>
      <c r="I7843" s="126">
        <f>G7843*H7843</f>
        <v>0</v>
      </c>
    </row>
    <row r="7844" spans="2:10" ht="15.95" customHeight="1" thickBot="1" x14ac:dyDescent="0.3">
      <c r="C7844" s="132"/>
      <c r="D7844" s="133"/>
      <c r="E7844" s="134"/>
      <c r="F7844" s="134"/>
      <c r="G7844" s="135" t="s">
        <v>389</v>
      </c>
      <c r="H7844" s="136"/>
      <c r="I7844" s="137">
        <f>I7843</f>
        <v>0</v>
      </c>
    </row>
    <row r="7845" spans="2:10" ht="15.95" customHeight="1" x14ac:dyDescent="0.25">
      <c r="C7845" s="158" t="s">
        <v>390</v>
      </c>
      <c r="D7845" s="159" t="s">
        <v>391</v>
      </c>
      <c r="E7845" s="160"/>
      <c r="F7845" s="160"/>
      <c r="G7845" s="161"/>
      <c r="H7845" s="162">
        <f>IF(AND(D7845&lt;&gt;"",F7845&lt;&gt;""),IF(C7845="",IF(F7845="OH",VLOOKUP(D7845,[1]UPAH!$B$3:$G$32,7,0),VLOOKUP(D7845,[1]BAHAN!$A$2:$D$3,4,0)),0),0)</f>
        <v>0</v>
      </c>
      <c r="I7845" s="126">
        <f>SUM(I7834:I7844)/2</f>
        <v>114282.5</v>
      </c>
    </row>
    <row r="7846" spans="2:10" ht="15.95" customHeight="1" thickBot="1" x14ac:dyDescent="0.3">
      <c r="C7846" s="147" t="s">
        <v>392</v>
      </c>
      <c r="D7846" s="148" t="s">
        <v>393</v>
      </c>
      <c r="E7846" s="149"/>
      <c r="F7846" s="149"/>
      <c r="G7846" s="164">
        <v>0.1</v>
      </c>
      <c r="H7846" s="151"/>
      <c r="I7846" s="146">
        <f>G7846*I7845</f>
        <v>11428.25</v>
      </c>
    </row>
    <row r="7847" spans="2:10" ht="15.95" customHeight="1" thickBot="1" x14ac:dyDescent="0.3">
      <c r="C7847" s="111" t="s">
        <v>394</v>
      </c>
      <c r="D7847" s="112" t="s">
        <v>395</v>
      </c>
      <c r="E7847" s="134"/>
      <c r="F7847" s="134"/>
      <c r="G7847" s="156"/>
      <c r="H7847" s="136">
        <f>IF(AND(D7847&lt;&gt;"",F7847&lt;&gt;""),IF(C7847="",IF(F7847="OH",VLOOKUP(D7847,[1]UPAH!$B$3:$G$32,7,0),VLOOKUP(D7847,[1]BAHAN!$A$2:$D$3,4,0)),0),0)</f>
        <v>0</v>
      </c>
      <c r="I7847" s="137">
        <f>ROUNDDOWN(I7845+I7846,0)</f>
        <v>125710</v>
      </c>
    </row>
    <row r="7848" spans="2:10" ht="15.95" customHeight="1" x14ac:dyDescent="0.25">
      <c r="C7848" s="109"/>
      <c r="D7848" s="109"/>
      <c r="G7848" s="157"/>
    </row>
    <row r="7849" spans="2:10" ht="15.95" customHeight="1" thickBot="1" x14ac:dyDescent="0.3">
      <c r="B7849" s="247" t="s">
        <v>1624</v>
      </c>
      <c r="C7849" s="104" t="s">
        <v>1625</v>
      </c>
      <c r="G7849" s="157"/>
      <c r="J7849" s="110">
        <f>I7865</f>
        <v>154222</v>
      </c>
    </row>
    <row r="7850" spans="2:10" ht="15.95" customHeight="1" thickBot="1" x14ac:dyDescent="0.3">
      <c r="C7850" s="111" t="s">
        <v>328</v>
      </c>
      <c r="D7850" s="112" t="s">
        <v>359</v>
      </c>
      <c r="E7850" s="113" t="s">
        <v>360</v>
      </c>
      <c r="F7850" s="113" t="s">
        <v>330</v>
      </c>
      <c r="G7850" s="114" t="s">
        <v>361</v>
      </c>
      <c r="H7850" s="112" t="s">
        <v>362</v>
      </c>
      <c r="I7850" s="115" t="s">
        <v>363</v>
      </c>
    </row>
    <row r="7851" spans="2:10" ht="15.95" customHeight="1" x14ac:dyDescent="0.25">
      <c r="C7851" s="158" t="s">
        <v>364</v>
      </c>
      <c r="D7851" s="159" t="s">
        <v>365</v>
      </c>
      <c r="E7851" s="160"/>
      <c r="F7851" s="160"/>
      <c r="G7851" s="161"/>
      <c r="H7851" s="162"/>
      <c r="I7851" s="163"/>
    </row>
    <row r="7852" spans="2:10" ht="15.95" customHeight="1" x14ac:dyDescent="0.25">
      <c r="C7852" s="122"/>
      <c r="D7852" s="117" t="s">
        <v>366</v>
      </c>
      <c r="E7852" s="123" t="s">
        <v>367</v>
      </c>
      <c r="F7852" s="239" t="s">
        <v>368</v>
      </c>
      <c r="G7852" s="242">
        <v>8.1000000000000003E-2</v>
      </c>
      <c r="H7852" s="243">
        <f>VLOOKUP(D7852,Upah,8,FALSE)</f>
        <v>125000</v>
      </c>
      <c r="I7852" s="126">
        <f>G7852*H7852</f>
        <v>10125</v>
      </c>
    </row>
    <row r="7853" spans="2:10" ht="15.95" customHeight="1" x14ac:dyDescent="0.25">
      <c r="C7853" s="122"/>
      <c r="D7853" s="117" t="s">
        <v>413</v>
      </c>
      <c r="E7853" s="123" t="s">
        <v>414</v>
      </c>
      <c r="F7853" s="239" t="s">
        <v>368</v>
      </c>
      <c r="G7853" s="242">
        <v>0.13500000000000001</v>
      </c>
      <c r="H7853" s="243">
        <f>VLOOKUP(D7853,Upah,8,FALSE)</f>
        <v>150000</v>
      </c>
      <c r="I7853" s="126">
        <f>G7853*H7853</f>
        <v>20250</v>
      </c>
    </row>
    <row r="7854" spans="2:10" ht="15.95" customHeight="1" x14ac:dyDescent="0.25">
      <c r="C7854" s="122"/>
      <c r="D7854" s="117" t="s">
        <v>429</v>
      </c>
      <c r="E7854" s="123" t="s">
        <v>372</v>
      </c>
      <c r="F7854" s="239" t="s">
        <v>368</v>
      </c>
      <c r="G7854" s="242">
        <v>1.35E-2</v>
      </c>
      <c r="H7854" s="243">
        <f>VLOOKUP(D7854,Upah,8,FALSE)</f>
        <v>165000</v>
      </c>
      <c r="I7854" s="126">
        <f>G7854*H7854</f>
        <v>2227.5</v>
      </c>
    </row>
    <row r="7855" spans="2:10" ht="15.95" customHeight="1" thickBot="1" x14ac:dyDescent="0.3">
      <c r="C7855" s="122"/>
      <c r="D7855" s="117" t="s">
        <v>373</v>
      </c>
      <c r="E7855" s="123" t="s">
        <v>374</v>
      </c>
      <c r="F7855" s="239" t="s">
        <v>368</v>
      </c>
      <c r="G7855" s="242">
        <v>4.0000000000000001E-3</v>
      </c>
      <c r="H7855" s="243">
        <f>VLOOKUP(D7855,Upah,8,FALSE)</f>
        <v>170000</v>
      </c>
      <c r="I7855" s="126">
        <f>G7855*H7855</f>
        <v>680</v>
      </c>
    </row>
    <row r="7856" spans="2:10" ht="15.95" customHeight="1" thickBot="1" x14ac:dyDescent="0.3">
      <c r="C7856" s="132"/>
      <c r="D7856" s="133"/>
      <c r="E7856" s="134"/>
      <c r="F7856" s="134"/>
      <c r="G7856" s="135" t="s">
        <v>375</v>
      </c>
      <c r="H7856" s="136"/>
      <c r="I7856" s="137">
        <f>SUM(I7852:I7855)</f>
        <v>33282.5</v>
      </c>
    </row>
    <row r="7857" spans="2:10" ht="15.95" customHeight="1" x14ac:dyDescent="0.25">
      <c r="C7857" s="116" t="s">
        <v>376</v>
      </c>
      <c r="D7857" s="117" t="s">
        <v>377</v>
      </c>
      <c r="E7857" s="118"/>
      <c r="F7857" s="118"/>
      <c r="G7857" s="165"/>
      <c r="H7857" s="144"/>
      <c r="I7857" s="126"/>
    </row>
    <row r="7858" spans="2:10" ht="15.95" customHeight="1" x14ac:dyDescent="0.25">
      <c r="C7858" s="122"/>
      <c r="D7858" s="117" t="s">
        <v>1626</v>
      </c>
      <c r="E7858" s="118"/>
      <c r="F7858" s="239" t="s">
        <v>75</v>
      </c>
      <c r="G7858" s="242">
        <v>1.2</v>
      </c>
      <c r="H7858" s="144">
        <f>VLOOKUP(D7858,Bahan,6,FALSE)</f>
        <v>66000</v>
      </c>
      <c r="I7858" s="126">
        <f>G7858*H7858</f>
        <v>79200</v>
      </c>
    </row>
    <row r="7859" spans="2:10" ht="15.95" customHeight="1" thickBot="1" x14ac:dyDescent="0.3">
      <c r="C7859" s="122"/>
      <c r="D7859" s="117" t="s">
        <v>1535</v>
      </c>
      <c r="E7859" s="118"/>
      <c r="F7859" s="239" t="s">
        <v>1147</v>
      </c>
      <c r="G7859" s="242">
        <v>35</v>
      </c>
      <c r="H7859" s="144">
        <f>I7858/100</f>
        <v>792</v>
      </c>
      <c r="I7859" s="126">
        <f>G7859*H7859</f>
        <v>27720</v>
      </c>
    </row>
    <row r="7860" spans="2:10" ht="15.95" customHeight="1" thickBot="1" x14ac:dyDescent="0.3">
      <c r="C7860" s="132"/>
      <c r="D7860" s="133"/>
      <c r="E7860" s="134"/>
      <c r="F7860" s="134"/>
      <c r="G7860" s="135" t="s">
        <v>386</v>
      </c>
      <c r="H7860" s="136"/>
      <c r="I7860" s="137">
        <f>SUM(I7858:I7859)</f>
        <v>106920</v>
      </c>
    </row>
    <row r="7861" spans="2:10" ht="15.95" customHeight="1" thickBot="1" x14ac:dyDescent="0.3">
      <c r="C7861" s="116" t="s">
        <v>387</v>
      </c>
      <c r="D7861" s="117" t="s">
        <v>388</v>
      </c>
      <c r="E7861" s="118"/>
      <c r="F7861" s="118"/>
      <c r="G7861" s="165"/>
      <c r="H7861" s="144">
        <f>IF(AND(D7861&lt;&gt;"",F7861&lt;&gt;""),IF(C7861="",IF(F7861="OH",VLOOKUP(D7861,[1]UPAH!$B$3:$G$32,7,0),VLOOKUP(D7861,[1]BAHAN!$A$2:$D$3,4,0)),0),0)</f>
        <v>0</v>
      </c>
      <c r="I7861" s="126">
        <f>G7861*H7861</f>
        <v>0</v>
      </c>
    </row>
    <row r="7862" spans="2:10" ht="15.95" customHeight="1" thickBot="1" x14ac:dyDescent="0.3">
      <c r="C7862" s="132"/>
      <c r="D7862" s="133"/>
      <c r="E7862" s="134"/>
      <c r="F7862" s="134"/>
      <c r="G7862" s="135" t="s">
        <v>389</v>
      </c>
      <c r="H7862" s="136"/>
      <c r="I7862" s="137">
        <f>I7861</f>
        <v>0</v>
      </c>
    </row>
    <row r="7863" spans="2:10" ht="15.95" customHeight="1" x14ac:dyDescent="0.25">
      <c r="C7863" s="158" t="s">
        <v>390</v>
      </c>
      <c r="D7863" s="159" t="s">
        <v>391</v>
      </c>
      <c r="E7863" s="160"/>
      <c r="F7863" s="160"/>
      <c r="G7863" s="161"/>
      <c r="H7863" s="162">
        <f>IF(AND(D7863&lt;&gt;"",F7863&lt;&gt;""),IF(C7863="",IF(F7863="OH",VLOOKUP(D7863,[1]UPAH!$B$3:$G$32,7,0),VLOOKUP(D7863,[1]BAHAN!$A$2:$D$3,4,0)),0),0)</f>
        <v>0</v>
      </c>
      <c r="I7863" s="126">
        <f>SUM(I7852:I7862)/2</f>
        <v>140202.5</v>
      </c>
    </row>
    <row r="7864" spans="2:10" ht="15.95" customHeight="1" thickBot="1" x14ac:dyDescent="0.3">
      <c r="C7864" s="147" t="s">
        <v>392</v>
      </c>
      <c r="D7864" s="148" t="s">
        <v>393</v>
      </c>
      <c r="E7864" s="149"/>
      <c r="F7864" s="149"/>
      <c r="G7864" s="164">
        <v>0.1</v>
      </c>
      <c r="H7864" s="151"/>
      <c r="I7864" s="146">
        <f>G7864*I7863</f>
        <v>14020.25</v>
      </c>
    </row>
    <row r="7865" spans="2:10" ht="15.95" customHeight="1" thickBot="1" x14ac:dyDescent="0.3">
      <c r="C7865" s="111" t="s">
        <v>394</v>
      </c>
      <c r="D7865" s="112" t="s">
        <v>395</v>
      </c>
      <c r="E7865" s="134"/>
      <c r="F7865" s="134"/>
      <c r="G7865" s="156"/>
      <c r="H7865" s="136">
        <f>IF(AND(D7865&lt;&gt;"",F7865&lt;&gt;""),IF(C7865="",IF(F7865="OH",VLOOKUP(D7865,[1]UPAH!$B$3:$G$32,7,0),VLOOKUP(D7865,[1]BAHAN!$A$2:$D$3,4,0)),0),0)</f>
        <v>0</v>
      </c>
      <c r="I7865" s="137">
        <f>ROUNDDOWN(I7863+I7864,0)</f>
        <v>154222</v>
      </c>
    </row>
    <row r="7866" spans="2:10" ht="15.95" customHeight="1" x14ac:dyDescent="0.25">
      <c r="C7866" s="109"/>
      <c r="D7866" s="109"/>
      <c r="G7866" s="157"/>
    </row>
    <row r="7867" spans="2:10" ht="15.95" customHeight="1" thickBot="1" x14ac:dyDescent="0.3">
      <c r="B7867" s="109" t="s">
        <v>1627</v>
      </c>
      <c r="C7867" s="104" t="s">
        <v>1628</v>
      </c>
      <c r="G7867" s="157"/>
      <c r="J7867" s="110">
        <f>I7885</f>
        <v>200665</v>
      </c>
    </row>
    <row r="7868" spans="2:10" ht="15.95" customHeight="1" thickBot="1" x14ac:dyDescent="0.3">
      <c r="C7868" s="111" t="s">
        <v>328</v>
      </c>
      <c r="D7868" s="112" t="s">
        <v>359</v>
      </c>
      <c r="E7868" s="113" t="s">
        <v>360</v>
      </c>
      <c r="F7868" s="113" t="s">
        <v>330</v>
      </c>
      <c r="G7868" s="114" t="s">
        <v>361</v>
      </c>
      <c r="H7868" s="112" t="s">
        <v>362</v>
      </c>
      <c r="I7868" s="115" t="s">
        <v>363</v>
      </c>
    </row>
    <row r="7869" spans="2:10" ht="15.95" customHeight="1" x14ac:dyDescent="0.25">
      <c r="C7869" s="158" t="s">
        <v>364</v>
      </c>
      <c r="D7869" s="159" t="s">
        <v>365</v>
      </c>
      <c r="E7869" s="160"/>
      <c r="F7869" s="160"/>
      <c r="G7869" s="161"/>
      <c r="H7869" s="162"/>
      <c r="I7869" s="163"/>
    </row>
    <row r="7870" spans="2:10" ht="15.95" customHeight="1" x14ac:dyDescent="0.25">
      <c r="C7870" s="122"/>
      <c r="D7870" s="117" t="s">
        <v>366</v>
      </c>
      <c r="E7870" s="123" t="s">
        <v>367</v>
      </c>
      <c r="F7870" s="239" t="s">
        <v>368</v>
      </c>
      <c r="G7870" s="242">
        <v>0.08</v>
      </c>
      <c r="H7870" s="243">
        <f>VLOOKUP(D7870,Upah,8,FALSE)</f>
        <v>125000</v>
      </c>
      <c r="I7870" s="126">
        <f>G7870*H7870</f>
        <v>10000</v>
      </c>
    </row>
    <row r="7871" spans="2:10" ht="15.95" customHeight="1" x14ac:dyDescent="0.25">
      <c r="C7871" s="122"/>
      <c r="D7871" s="117" t="s">
        <v>413</v>
      </c>
      <c r="E7871" s="123" t="s">
        <v>414</v>
      </c>
      <c r="F7871" s="239" t="s">
        <v>368</v>
      </c>
      <c r="G7871" s="242">
        <v>0.04</v>
      </c>
      <c r="H7871" s="243">
        <f>VLOOKUP(D7871,Upah,8,FALSE)</f>
        <v>150000</v>
      </c>
      <c r="I7871" s="126">
        <f>G7871*H7871</f>
        <v>6000</v>
      </c>
    </row>
    <row r="7872" spans="2:10" ht="15.95" customHeight="1" x14ac:dyDescent="0.25">
      <c r="C7872" s="122"/>
      <c r="D7872" s="117" t="s">
        <v>429</v>
      </c>
      <c r="E7872" s="123" t="s">
        <v>372</v>
      </c>
      <c r="F7872" s="239" t="s">
        <v>368</v>
      </c>
      <c r="G7872" s="242">
        <v>4.0000000000000001E-3</v>
      </c>
      <c r="H7872" s="243">
        <f>VLOOKUP(D7872,Upah,8,FALSE)</f>
        <v>165000</v>
      </c>
      <c r="I7872" s="126">
        <f>G7872*H7872</f>
        <v>660</v>
      </c>
    </row>
    <row r="7873" spans="2:10" ht="15.95" customHeight="1" thickBot="1" x14ac:dyDescent="0.3">
      <c r="C7873" s="122"/>
      <c r="D7873" s="117" t="s">
        <v>373</v>
      </c>
      <c r="E7873" s="123" t="s">
        <v>374</v>
      </c>
      <c r="F7873" s="239" t="s">
        <v>368</v>
      </c>
      <c r="G7873" s="242">
        <v>4.0000000000000001E-3</v>
      </c>
      <c r="H7873" s="243">
        <f>VLOOKUP(D7873,Upah,8,FALSE)</f>
        <v>170000</v>
      </c>
      <c r="I7873" s="126">
        <f>G7873*H7873</f>
        <v>680</v>
      </c>
    </row>
    <row r="7874" spans="2:10" ht="15.95" customHeight="1" thickBot="1" x14ac:dyDescent="0.3">
      <c r="C7874" s="132"/>
      <c r="D7874" s="133"/>
      <c r="E7874" s="134"/>
      <c r="F7874" s="134"/>
      <c r="G7874" s="135" t="s">
        <v>375</v>
      </c>
      <c r="H7874" s="136"/>
      <c r="I7874" s="137">
        <f>SUM(I7870:I7873)</f>
        <v>17340</v>
      </c>
    </row>
    <row r="7875" spans="2:10" ht="15.95" customHeight="1" x14ac:dyDescent="0.25">
      <c r="C7875" s="116" t="s">
        <v>376</v>
      </c>
      <c r="D7875" s="117" t="s">
        <v>377</v>
      </c>
      <c r="E7875" s="118"/>
      <c r="F7875" s="118"/>
      <c r="G7875" s="165"/>
      <c r="H7875" s="144"/>
      <c r="I7875" s="126"/>
    </row>
    <row r="7876" spans="2:10" ht="15.95" customHeight="1" x14ac:dyDescent="0.25">
      <c r="C7876" s="122"/>
      <c r="D7876" s="117" t="s">
        <v>1629</v>
      </c>
      <c r="E7876" s="118"/>
      <c r="F7876" s="239" t="s">
        <v>418</v>
      </c>
      <c r="G7876" s="242">
        <v>1.6</v>
      </c>
      <c r="H7876" s="144">
        <f>VLOOKUP(D7876,Bahan,6,FALSE)</f>
        <v>57200</v>
      </c>
      <c r="I7876" s="126">
        <f>G7876*H7876</f>
        <v>91520</v>
      </c>
    </row>
    <row r="7877" spans="2:10" ht="15.95" customHeight="1" x14ac:dyDescent="0.25">
      <c r="C7877" s="122"/>
      <c r="D7877" s="117" t="s">
        <v>380</v>
      </c>
      <c r="E7877" s="118"/>
      <c r="F7877" s="239" t="s">
        <v>159</v>
      </c>
      <c r="G7877" s="242">
        <v>35</v>
      </c>
      <c r="H7877" s="144">
        <f>VLOOKUP(D7877,Bahan,6,FALSE)</f>
        <v>1880</v>
      </c>
      <c r="I7877" s="126">
        <f>G7877*H7877</f>
        <v>65800</v>
      </c>
    </row>
    <row r="7878" spans="2:10" ht="15.95" customHeight="1" x14ac:dyDescent="0.25">
      <c r="C7878" s="122"/>
      <c r="D7878" s="117" t="s">
        <v>416</v>
      </c>
      <c r="E7878" s="118"/>
      <c r="F7878" s="239" t="s">
        <v>489</v>
      </c>
      <c r="G7878" s="242">
        <v>1.4E-2</v>
      </c>
      <c r="H7878" s="144">
        <f>VLOOKUP(D7878,Bahan,6,FALSE)</f>
        <v>253510</v>
      </c>
      <c r="I7878" s="126">
        <f>G7878*H7878</f>
        <v>3549.14</v>
      </c>
    </row>
    <row r="7879" spans="2:10" ht="15.95" customHeight="1" thickBot="1" x14ac:dyDescent="0.3">
      <c r="C7879" s="122"/>
      <c r="D7879" s="117" t="s">
        <v>488</v>
      </c>
      <c r="E7879" s="118"/>
      <c r="F7879" s="239" t="s">
        <v>489</v>
      </c>
      <c r="G7879" s="242">
        <v>1.4E-2</v>
      </c>
      <c r="H7879" s="144">
        <f>VLOOKUP(D7879,Bahan,6,FALSE)</f>
        <v>300990</v>
      </c>
      <c r="I7879" s="126">
        <f>G7879*H7879</f>
        <v>4213.8599999999997</v>
      </c>
    </row>
    <row r="7880" spans="2:10" ht="15.95" customHeight="1" thickBot="1" x14ac:dyDescent="0.3">
      <c r="C7880" s="132"/>
      <c r="D7880" s="133"/>
      <c r="E7880" s="134"/>
      <c r="F7880" s="134"/>
      <c r="G7880" s="135" t="s">
        <v>386</v>
      </c>
      <c r="H7880" s="136"/>
      <c r="I7880" s="137">
        <f>SUM(I7876:I7879)</f>
        <v>165083</v>
      </c>
    </row>
    <row r="7881" spans="2:10" ht="15.95" customHeight="1" thickBot="1" x14ac:dyDescent="0.3">
      <c r="C7881" s="116" t="s">
        <v>387</v>
      </c>
      <c r="D7881" s="117" t="s">
        <v>388</v>
      </c>
      <c r="E7881" s="118"/>
      <c r="F7881" s="118"/>
      <c r="G7881" s="165"/>
      <c r="H7881" s="144">
        <f>IF(AND(D7881&lt;&gt;"",F7881&lt;&gt;""),IF(C7881="",IF(F7881="OH",VLOOKUP(D7881,[1]UPAH!$B$3:$G$32,7,0),VLOOKUP(D7881,[1]BAHAN!$A$2:$D$3,4,0)),0),0)</f>
        <v>0</v>
      </c>
      <c r="I7881" s="126">
        <f>G7881*H7881</f>
        <v>0</v>
      </c>
    </row>
    <row r="7882" spans="2:10" ht="15.95" customHeight="1" thickBot="1" x14ac:dyDescent="0.3">
      <c r="C7882" s="132"/>
      <c r="D7882" s="133"/>
      <c r="E7882" s="134"/>
      <c r="F7882" s="134"/>
      <c r="G7882" s="135" t="s">
        <v>389</v>
      </c>
      <c r="H7882" s="136"/>
      <c r="I7882" s="137">
        <f>I7881</f>
        <v>0</v>
      </c>
    </row>
    <row r="7883" spans="2:10" ht="15.95" customHeight="1" x14ac:dyDescent="0.25">
      <c r="C7883" s="158" t="s">
        <v>390</v>
      </c>
      <c r="D7883" s="159" t="s">
        <v>391</v>
      </c>
      <c r="E7883" s="160"/>
      <c r="F7883" s="160"/>
      <c r="G7883" s="161"/>
      <c r="H7883" s="162">
        <f>IF(AND(D7883&lt;&gt;"",F7883&lt;&gt;""),IF(C7883="",IF(F7883="OH",VLOOKUP(D7883,[1]UPAH!$B$3:$G$32,7,0),VLOOKUP(D7883,[1]BAHAN!$A$2:$D$3,4,0)),0),0)</f>
        <v>0</v>
      </c>
      <c r="I7883" s="126">
        <f>SUM(I7870:I7882)/2</f>
        <v>182423</v>
      </c>
    </row>
    <row r="7884" spans="2:10" ht="15.95" customHeight="1" thickBot="1" x14ac:dyDescent="0.3">
      <c r="C7884" s="147" t="s">
        <v>392</v>
      </c>
      <c r="D7884" s="148" t="s">
        <v>393</v>
      </c>
      <c r="E7884" s="149"/>
      <c r="F7884" s="149"/>
      <c r="G7884" s="164">
        <v>0.1</v>
      </c>
      <c r="H7884" s="151"/>
      <c r="I7884" s="146">
        <f>G7884*I7883</f>
        <v>18242.3</v>
      </c>
    </row>
    <row r="7885" spans="2:10" ht="15.95" customHeight="1" thickBot="1" x14ac:dyDescent="0.3">
      <c r="C7885" s="111" t="s">
        <v>394</v>
      </c>
      <c r="D7885" s="112" t="s">
        <v>395</v>
      </c>
      <c r="E7885" s="134"/>
      <c r="F7885" s="134"/>
      <c r="G7885" s="156"/>
      <c r="H7885" s="136">
        <f>IF(AND(D7885&lt;&gt;"",F7885&lt;&gt;""),IF(C7885="",IF(F7885="OH",VLOOKUP(D7885,[1]UPAH!$B$3:$G$32,7,0),VLOOKUP(D7885,[1]BAHAN!$A$2:$D$3,4,0)),0),0)</f>
        <v>0</v>
      </c>
      <c r="I7885" s="137">
        <f>ROUNDDOWN(I7883+I7884,0)</f>
        <v>200665</v>
      </c>
    </row>
    <row r="7886" spans="2:10" ht="15.95" customHeight="1" x14ac:dyDescent="0.25">
      <c r="C7886" s="109"/>
      <c r="D7886" s="109"/>
      <c r="G7886" s="157"/>
    </row>
    <row r="7887" spans="2:10" ht="15.95" customHeight="1" thickBot="1" x14ac:dyDescent="0.3">
      <c r="B7887" s="109" t="s">
        <v>1630</v>
      </c>
      <c r="C7887" s="104" t="s">
        <v>1631</v>
      </c>
      <c r="G7887" s="157"/>
      <c r="J7887" s="110">
        <f>I7905</f>
        <v>123650</v>
      </c>
    </row>
    <row r="7888" spans="2:10" ht="15.95" customHeight="1" thickBot="1" x14ac:dyDescent="0.3">
      <c r="C7888" s="111" t="s">
        <v>328</v>
      </c>
      <c r="D7888" s="112" t="s">
        <v>359</v>
      </c>
      <c r="E7888" s="113" t="s">
        <v>360</v>
      </c>
      <c r="F7888" s="113" t="s">
        <v>330</v>
      </c>
      <c r="G7888" s="114" t="s">
        <v>361</v>
      </c>
      <c r="H7888" s="112" t="s">
        <v>362</v>
      </c>
      <c r="I7888" s="115" t="s">
        <v>363</v>
      </c>
    </row>
    <row r="7889" spans="3:9" ht="15.95" customHeight="1" x14ac:dyDescent="0.25">
      <c r="C7889" s="158" t="s">
        <v>364</v>
      </c>
      <c r="D7889" s="159" t="s">
        <v>365</v>
      </c>
      <c r="E7889" s="160"/>
      <c r="F7889" s="160"/>
      <c r="G7889" s="161"/>
      <c r="H7889" s="162"/>
      <c r="I7889" s="163"/>
    </row>
    <row r="7890" spans="3:9" ht="15.95" customHeight="1" x14ac:dyDescent="0.25">
      <c r="C7890" s="122"/>
      <c r="D7890" s="117" t="s">
        <v>366</v>
      </c>
      <c r="E7890" s="123" t="s">
        <v>367</v>
      </c>
      <c r="F7890" s="239" t="s">
        <v>368</v>
      </c>
      <c r="G7890" s="242">
        <v>0.06</v>
      </c>
      <c r="H7890" s="243">
        <f>VLOOKUP(D7890,Upah,8,FALSE)</f>
        <v>125000</v>
      </c>
      <c r="I7890" s="126">
        <f>G7890*H7890</f>
        <v>7500</v>
      </c>
    </row>
    <row r="7891" spans="3:9" ht="15.95" customHeight="1" x14ac:dyDescent="0.25">
      <c r="C7891" s="122"/>
      <c r="D7891" s="117" t="s">
        <v>413</v>
      </c>
      <c r="E7891" s="123" t="s">
        <v>414</v>
      </c>
      <c r="F7891" s="239" t="s">
        <v>368</v>
      </c>
      <c r="G7891" s="242">
        <v>0.03</v>
      </c>
      <c r="H7891" s="243">
        <f>VLOOKUP(D7891,Upah,8,FALSE)</f>
        <v>150000</v>
      </c>
      <c r="I7891" s="126">
        <f>G7891*H7891</f>
        <v>4500</v>
      </c>
    </row>
    <row r="7892" spans="3:9" ht="15.95" customHeight="1" x14ac:dyDescent="0.25">
      <c r="C7892" s="122"/>
      <c r="D7892" s="117" t="s">
        <v>429</v>
      </c>
      <c r="E7892" s="123" t="s">
        <v>372</v>
      </c>
      <c r="F7892" s="239" t="s">
        <v>368</v>
      </c>
      <c r="G7892" s="242">
        <v>3.0000000000000001E-3</v>
      </c>
      <c r="H7892" s="243">
        <f>VLOOKUP(D7892,Upah,8,FALSE)</f>
        <v>165000</v>
      </c>
      <c r="I7892" s="126">
        <f>G7892*H7892</f>
        <v>495</v>
      </c>
    </row>
    <row r="7893" spans="3:9" ht="15.95" customHeight="1" thickBot="1" x14ac:dyDescent="0.3">
      <c r="C7893" s="122"/>
      <c r="D7893" s="117" t="s">
        <v>373</v>
      </c>
      <c r="E7893" s="123" t="s">
        <v>374</v>
      </c>
      <c r="F7893" s="239" t="s">
        <v>368</v>
      </c>
      <c r="G7893" s="242">
        <v>3.0000000000000001E-3</v>
      </c>
      <c r="H7893" s="243">
        <f>VLOOKUP(D7893,Upah,8,FALSE)</f>
        <v>170000</v>
      </c>
      <c r="I7893" s="126">
        <f>G7893*H7893</f>
        <v>510</v>
      </c>
    </row>
    <row r="7894" spans="3:9" ht="15.95" customHeight="1" thickBot="1" x14ac:dyDescent="0.3">
      <c r="C7894" s="132"/>
      <c r="D7894" s="133"/>
      <c r="E7894" s="134"/>
      <c r="F7894" s="134"/>
      <c r="G7894" s="135" t="s">
        <v>375</v>
      </c>
      <c r="H7894" s="136"/>
      <c r="I7894" s="137">
        <f>SUM(I7890:I7893)</f>
        <v>13005</v>
      </c>
    </row>
    <row r="7895" spans="3:9" ht="15.95" customHeight="1" x14ac:dyDescent="0.25">
      <c r="C7895" s="116" t="s">
        <v>376</v>
      </c>
      <c r="D7895" s="117" t="s">
        <v>377</v>
      </c>
      <c r="E7895" s="118"/>
      <c r="F7895" s="118"/>
      <c r="G7895" s="165"/>
      <c r="H7895" s="144"/>
      <c r="I7895" s="126"/>
    </row>
    <row r="7896" spans="3:9" ht="15.95" customHeight="1" x14ac:dyDescent="0.25">
      <c r="C7896" s="122"/>
      <c r="D7896" s="117" t="s">
        <v>1629</v>
      </c>
      <c r="E7896" s="118"/>
      <c r="F7896" s="239" t="s">
        <v>418</v>
      </c>
      <c r="G7896" s="242">
        <v>1.6</v>
      </c>
      <c r="H7896" s="144">
        <f>VLOOKUP(D7896,Bahan,6,FALSE)</f>
        <v>57200</v>
      </c>
      <c r="I7896" s="126">
        <f>G7896*H7896</f>
        <v>91520</v>
      </c>
    </row>
    <row r="7897" spans="3:9" ht="15.95" customHeight="1" x14ac:dyDescent="0.25">
      <c r="C7897" s="122"/>
      <c r="D7897" s="117" t="s">
        <v>380</v>
      </c>
      <c r="E7897" s="118"/>
      <c r="F7897" s="239" t="s">
        <v>159</v>
      </c>
      <c r="G7897" s="242">
        <v>0.68</v>
      </c>
      <c r="H7897" s="144">
        <f>VLOOKUP(D7897,Bahan,6,FALSE)</f>
        <v>1880</v>
      </c>
      <c r="I7897" s="126">
        <f>G7897*H7897</f>
        <v>1278.4000000000001</v>
      </c>
    </row>
    <row r="7898" spans="3:9" ht="15.95" customHeight="1" x14ac:dyDescent="0.25">
      <c r="C7898" s="122"/>
      <c r="D7898" s="117" t="s">
        <v>416</v>
      </c>
      <c r="E7898" s="118"/>
      <c r="F7898" s="239" t="s">
        <v>489</v>
      </c>
      <c r="G7898" s="242">
        <v>1.2999999999999999E-2</v>
      </c>
      <c r="H7898" s="144">
        <f>VLOOKUP(D7898,Bahan,6,FALSE)</f>
        <v>253510</v>
      </c>
      <c r="I7898" s="126">
        <f>G7898*H7898</f>
        <v>3295.6299999999997</v>
      </c>
    </row>
    <row r="7899" spans="3:9" ht="15.95" customHeight="1" thickBot="1" x14ac:dyDescent="0.3">
      <c r="C7899" s="122"/>
      <c r="D7899" s="117" t="s">
        <v>488</v>
      </c>
      <c r="E7899" s="118"/>
      <c r="F7899" s="239" t="s">
        <v>489</v>
      </c>
      <c r="G7899" s="242">
        <v>1.0999999999999999E-2</v>
      </c>
      <c r="H7899" s="144">
        <f>VLOOKUP(D7899,Bahan,6,FALSE)</f>
        <v>300990</v>
      </c>
      <c r="I7899" s="126">
        <f>G7899*H7899</f>
        <v>3310.89</v>
      </c>
    </row>
    <row r="7900" spans="3:9" ht="15.95" customHeight="1" thickBot="1" x14ac:dyDescent="0.3">
      <c r="C7900" s="132"/>
      <c r="D7900" s="133"/>
      <c r="E7900" s="134"/>
      <c r="F7900" s="134"/>
      <c r="G7900" s="135" t="s">
        <v>386</v>
      </c>
      <c r="H7900" s="136"/>
      <c r="I7900" s="137">
        <f>SUM(I7896:I7899)</f>
        <v>99404.92</v>
      </c>
    </row>
    <row r="7901" spans="3:9" ht="15.95" customHeight="1" thickBot="1" x14ac:dyDescent="0.3">
      <c r="C7901" s="116" t="s">
        <v>387</v>
      </c>
      <c r="D7901" s="117" t="s">
        <v>388</v>
      </c>
      <c r="E7901" s="118"/>
      <c r="F7901" s="118"/>
      <c r="G7901" s="165"/>
      <c r="H7901" s="144">
        <f>IF(AND(D7901&lt;&gt;"",F7901&lt;&gt;""),IF(C7901="",IF(F7901="OH",VLOOKUP(D7901,[1]UPAH!$B$3:$G$32,7,0),VLOOKUP(D7901,[1]BAHAN!$A$2:$D$3,4,0)),0),0)</f>
        <v>0</v>
      </c>
      <c r="I7901" s="126">
        <f>G7901*H7901</f>
        <v>0</v>
      </c>
    </row>
    <row r="7902" spans="3:9" ht="15.95" customHeight="1" thickBot="1" x14ac:dyDescent="0.3">
      <c r="C7902" s="132"/>
      <c r="D7902" s="133"/>
      <c r="E7902" s="134"/>
      <c r="F7902" s="134"/>
      <c r="G7902" s="135" t="s">
        <v>389</v>
      </c>
      <c r="H7902" s="136"/>
      <c r="I7902" s="137">
        <f>I7901</f>
        <v>0</v>
      </c>
    </row>
    <row r="7903" spans="3:9" ht="15.95" customHeight="1" x14ac:dyDescent="0.25">
      <c r="C7903" s="158" t="s">
        <v>390</v>
      </c>
      <c r="D7903" s="159" t="s">
        <v>391</v>
      </c>
      <c r="E7903" s="160"/>
      <c r="F7903" s="160"/>
      <c r="G7903" s="161"/>
      <c r="H7903" s="162">
        <f>IF(AND(D7903&lt;&gt;"",F7903&lt;&gt;""),IF(C7903="",IF(F7903="OH",VLOOKUP(D7903,[1]UPAH!$B$3:$G$32,7,0),VLOOKUP(D7903,[1]BAHAN!$A$2:$D$3,4,0)),0),0)</f>
        <v>0</v>
      </c>
      <c r="I7903" s="126">
        <f>SUM(I7890:I7902)/2</f>
        <v>112409.92</v>
      </c>
    </row>
    <row r="7904" spans="3:9" ht="15.95" customHeight="1" thickBot="1" x14ac:dyDescent="0.3">
      <c r="C7904" s="147" t="s">
        <v>392</v>
      </c>
      <c r="D7904" s="148" t="s">
        <v>393</v>
      </c>
      <c r="E7904" s="149"/>
      <c r="F7904" s="149"/>
      <c r="G7904" s="164">
        <v>0.1</v>
      </c>
      <c r="H7904" s="151"/>
      <c r="I7904" s="146">
        <f>G7904*I7903</f>
        <v>11240.992</v>
      </c>
    </row>
    <row r="7905" spans="2:10" ht="15.95" customHeight="1" thickBot="1" x14ac:dyDescent="0.3">
      <c r="C7905" s="111" t="s">
        <v>394</v>
      </c>
      <c r="D7905" s="112" t="s">
        <v>395</v>
      </c>
      <c r="E7905" s="134"/>
      <c r="F7905" s="134"/>
      <c r="G7905" s="156"/>
      <c r="H7905" s="136">
        <f>IF(AND(D7905&lt;&gt;"",F7905&lt;&gt;""),IF(C7905="",IF(F7905="OH",VLOOKUP(D7905,[1]UPAH!$B$3:$G$32,7,0),VLOOKUP(D7905,[1]BAHAN!$A$2:$D$3,4,0)),0),0)</f>
        <v>0</v>
      </c>
      <c r="I7905" s="137">
        <f>ROUNDDOWN(I7903+I7904,0)</f>
        <v>123650</v>
      </c>
    </row>
    <row r="7906" spans="2:10" ht="15.95" customHeight="1" x14ac:dyDescent="0.25">
      <c r="C7906" s="109"/>
      <c r="D7906" s="109"/>
      <c r="G7906" s="157"/>
    </row>
    <row r="7907" spans="2:10" ht="15.95" customHeight="1" thickBot="1" x14ac:dyDescent="0.3">
      <c r="B7907" s="109" t="s">
        <v>1632</v>
      </c>
      <c r="C7907" s="104" t="s">
        <v>1633</v>
      </c>
      <c r="G7907" s="157"/>
      <c r="J7907" s="110">
        <f>I7926</f>
        <v>143608</v>
      </c>
    </row>
    <row r="7908" spans="2:10" ht="15.95" customHeight="1" thickBot="1" x14ac:dyDescent="0.3">
      <c r="C7908" s="111" t="s">
        <v>328</v>
      </c>
      <c r="D7908" s="112" t="s">
        <v>359</v>
      </c>
      <c r="E7908" s="113" t="s">
        <v>360</v>
      </c>
      <c r="F7908" s="113" t="s">
        <v>330</v>
      </c>
      <c r="G7908" s="114" t="s">
        <v>361</v>
      </c>
      <c r="H7908" s="112" t="s">
        <v>362</v>
      </c>
      <c r="I7908" s="115" t="s">
        <v>363</v>
      </c>
    </row>
    <row r="7909" spans="2:10" ht="15.95" customHeight="1" x14ac:dyDescent="0.25">
      <c r="C7909" s="158" t="s">
        <v>364</v>
      </c>
      <c r="D7909" s="159" t="s">
        <v>365</v>
      </c>
      <c r="E7909" s="160"/>
      <c r="F7909" s="160"/>
      <c r="G7909" s="161"/>
      <c r="H7909" s="162"/>
      <c r="I7909" s="163"/>
    </row>
    <row r="7910" spans="2:10" ht="15.95" customHeight="1" x14ac:dyDescent="0.25">
      <c r="C7910" s="122"/>
      <c r="D7910" s="117" t="s">
        <v>366</v>
      </c>
      <c r="E7910" s="123" t="s">
        <v>367</v>
      </c>
      <c r="F7910" s="239" t="s">
        <v>368</v>
      </c>
      <c r="G7910" s="242">
        <v>0.14000000000000001</v>
      </c>
      <c r="H7910" s="243">
        <f>VLOOKUP(D7910,Upah,8,FALSE)</f>
        <v>125000</v>
      </c>
      <c r="I7910" s="126">
        <f>G7910*H7910</f>
        <v>17500</v>
      </c>
    </row>
    <row r="7911" spans="2:10" ht="15.95" customHeight="1" x14ac:dyDescent="0.25">
      <c r="C7911" s="122"/>
      <c r="D7911" s="117" t="s">
        <v>413</v>
      </c>
      <c r="E7911" s="123" t="s">
        <v>414</v>
      </c>
      <c r="F7911" s="239" t="s">
        <v>368</v>
      </c>
      <c r="G7911" s="242">
        <v>7.0000000000000007E-2</v>
      </c>
      <c r="H7911" s="243">
        <f>VLOOKUP(D7911,Upah,8,FALSE)</f>
        <v>150000</v>
      </c>
      <c r="I7911" s="126">
        <f>G7911*H7911</f>
        <v>10500.000000000002</v>
      </c>
    </row>
    <row r="7912" spans="2:10" ht="15.95" customHeight="1" x14ac:dyDescent="0.25">
      <c r="C7912" s="122"/>
      <c r="D7912" s="117" t="s">
        <v>429</v>
      </c>
      <c r="E7912" s="123" t="s">
        <v>372</v>
      </c>
      <c r="F7912" s="239" t="s">
        <v>368</v>
      </c>
      <c r="G7912" s="242">
        <v>7.0000000000000001E-3</v>
      </c>
      <c r="H7912" s="243">
        <f>VLOOKUP(D7912,Upah,8,FALSE)</f>
        <v>165000</v>
      </c>
      <c r="I7912" s="126">
        <f>G7912*H7912</f>
        <v>1155</v>
      </c>
    </row>
    <row r="7913" spans="2:10" ht="15.95" customHeight="1" thickBot="1" x14ac:dyDescent="0.3">
      <c r="C7913" s="122"/>
      <c r="D7913" s="117" t="s">
        <v>373</v>
      </c>
      <c r="E7913" s="123" t="s">
        <v>374</v>
      </c>
      <c r="F7913" s="239" t="s">
        <v>368</v>
      </c>
      <c r="G7913" s="242">
        <v>7.0000000000000001E-3</v>
      </c>
      <c r="H7913" s="243">
        <f>VLOOKUP(D7913,Upah,8,FALSE)</f>
        <v>170000</v>
      </c>
      <c r="I7913" s="126">
        <f>G7913*H7913</f>
        <v>1190</v>
      </c>
    </row>
    <row r="7914" spans="2:10" ht="15.95" customHeight="1" thickBot="1" x14ac:dyDescent="0.3">
      <c r="C7914" s="132"/>
      <c r="D7914" s="133"/>
      <c r="E7914" s="134"/>
      <c r="F7914" s="134"/>
      <c r="G7914" s="135" t="s">
        <v>375</v>
      </c>
      <c r="H7914" s="136"/>
      <c r="I7914" s="137">
        <f>SUM(I7910:I7913)</f>
        <v>30345</v>
      </c>
    </row>
    <row r="7915" spans="2:10" ht="15.95" customHeight="1" x14ac:dyDescent="0.25">
      <c r="C7915" s="116" t="s">
        <v>376</v>
      </c>
      <c r="D7915" s="117" t="s">
        <v>377</v>
      </c>
      <c r="E7915" s="118"/>
      <c r="F7915" s="118"/>
      <c r="G7915" s="165"/>
      <c r="H7915" s="144"/>
      <c r="I7915" s="126"/>
    </row>
    <row r="7916" spans="2:10" ht="15.95" customHeight="1" x14ac:dyDescent="0.25">
      <c r="C7916" s="122"/>
      <c r="D7916" s="117" t="s">
        <v>1634</v>
      </c>
      <c r="E7916" s="118"/>
      <c r="F7916" s="239" t="s">
        <v>418</v>
      </c>
      <c r="G7916" s="242">
        <v>1.1000000000000001</v>
      </c>
      <c r="H7916" s="144">
        <f>VLOOKUP(D7916,Bahan,6,FALSE)</f>
        <v>64900</v>
      </c>
      <c r="I7916" s="126">
        <f>G7916*H7916</f>
        <v>71390</v>
      </c>
    </row>
    <row r="7917" spans="2:10" ht="15.95" customHeight="1" x14ac:dyDescent="0.25">
      <c r="C7917" s="122"/>
      <c r="D7917" s="117" t="s">
        <v>417</v>
      </c>
      <c r="E7917" s="118"/>
      <c r="F7917" s="239" t="s">
        <v>489</v>
      </c>
      <c r="G7917" s="242">
        <v>2.7E-2</v>
      </c>
      <c r="H7917" s="144">
        <f>VLOOKUP(D7917,Bahan,6,FALSE)</f>
        <v>1040</v>
      </c>
      <c r="I7917" s="126">
        <f>G7917*H7917</f>
        <v>28.08</v>
      </c>
    </row>
    <row r="7918" spans="2:10" ht="15.95" customHeight="1" x14ac:dyDescent="0.25">
      <c r="C7918" s="122"/>
      <c r="D7918" s="117" t="s">
        <v>380</v>
      </c>
      <c r="E7918" s="118"/>
      <c r="F7918" s="239" t="s">
        <v>159</v>
      </c>
      <c r="G7918" s="242">
        <v>3.92</v>
      </c>
      <c r="H7918" s="144">
        <f>VLOOKUP(D7918,Bahan,6,FALSE)</f>
        <v>1880</v>
      </c>
      <c r="I7918" s="126">
        <f>G7918*H7918</f>
        <v>7369.5999999999995</v>
      </c>
    </row>
    <row r="7919" spans="2:10" ht="15.95" customHeight="1" x14ac:dyDescent="0.25">
      <c r="C7919" s="122"/>
      <c r="D7919" s="117" t="s">
        <v>416</v>
      </c>
      <c r="E7919" s="118"/>
      <c r="F7919" s="239" t="s">
        <v>489</v>
      </c>
      <c r="G7919" s="242">
        <v>5.6000000000000001E-2</v>
      </c>
      <c r="H7919" s="144">
        <f>VLOOKUP(D7919,Bahan,6,FALSE)</f>
        <v>253510</v>
      </c>
      <c r="I7919" s="126">
        <f>G7919*H7919</f>
        <v>14196.56</v>
      </c>
    </row>
    <row r="7920" spans="2:10" ht="15.95" customHeight="1" thickBot="1" x14ac:dyDescent="0.3">
      <c r="C7920" s="122"/>
      <c r="D7920" s="117" t="s">
        <v>488</v>
      </c>
      <c r="E7920" s="118"/>
      <c r="F7920" s="239" t="s">
        <v>489</v>
      </c>
      <c r="G7920" s="242">
        <v>2.4E-2</v>
      </c>
      <c r="H7920" s="144">
        <f>VLOOKUP(D7920,Bahan,6,FALSE)</f>
        <v>300990</v>
      </c>
      <c r="I7920" s="126">
        <f>G7920*H7920</f>
        <v>7223.76</v>
      </c>
    </row>
    <row r="7921" spans="2:10" ht="15.95" customHeight="1" thickBot="1" x14ac:dyDescent="0.3">
      <c r="C7921" s="132"/>
      <c r="D7921" s="133"/>
      <c r="E7921" s="134"/>
      <c r="F7921" s="134"/>
      <c r="G7921" s="135" t="s">
        <v>386</v>
      </c>
      <c r="H7921" s="136"/>
      <c r="I7921" s="137">
        <f>SUM(I7916:I7920)</f>
        <v>100208</v>
      </c>
    </row>
    <row r="7922" spans="2:10" ht="15.95" customHeight="1" thickBot="1" x14ac:dyDescent="0.3">
      <c r="C7922" s="116" t="s">
        <v>387</v>
      </c>
      <c r="D7922" s="117" t="s">
        <v>388</v>
      </c>
      <c r="E7922" s="118"/>
      <c r="F7922" s="118"/>
      <c r="G7922" s="165"/>
      <c r="H7922" s="144">
        <f>IF(AND(D7922&lt;&gt;"",F7922&lt;&gt;""),IF(C7922="",IF(F7922="OH",VLOOKUP(D7922,[1]UPAH!$B$3:$G$32,7,0),VLOOKUP(D7922,[1]BAHAN!$A$2:$D$3,4,0)),0),0)</f>
        <v>0</v>
      </c>
      <c r="I7922" s="126">
        <f>G7922*H7922</f>
        <v>0</v>
      </c>
    </row>
    <row r="7923" spans="2:10" ht="15.95" customHeight="1" thickBot="1" x14ac:dyDescent="0.3">
      <c r="C7923" s="132"/>
      <c r="D7923" s="133"/>
      <c r="E7923" s="134"/>
      <c r="F7923" s="134"/>
      <c r="G7923" s="135" t="s">
        <v>389</v>
      </c>
      <c r="H7923" s="136"/>
      <c r="I7923" s="137">
        <f>I7922</f>
        <v>0</v>
      </c>
    </row>
    <row r="7924" spans="2:10" ht="15.95" customHeight="1" x14ac:dyDescent="0.25">
      <c r="C7924" s="158" t="s">
        <v>390</v>
      </c>
      <c r="D7924" s="159" t="s">
        <v>391</v>
      </c>
      <c r="E7924" s="160"/>
      <c r="F7924" s="160"/>
      <c r="G7924" s="161"/>
      <c r="H7924" s="162">
        <f>IF(AND(D7924&lt;&gt;"",F7924&lt;&gt;""),IF(C7924="",IF(F7924="OH",VLOOKUP(D7924,[1]UPAH!$B$3:$G$32,7,0),VLOOKUP(D7924,[1]BAHAN!$A$2:$D$3,4,0)),0),0)</f>
        <v>0</v>
      </c>
      <c r="I7924" s="126">
        <f>SUM(I7910:I7923)/2</f>
        <v>130553</v>
      </c>
    </row>
    <row r="7925" spans="2:10" ht="15.95" customHeight="1" thickBot="1" x14ac:dyDescent="0.3">
      <c r="C7925" s="147" t="s">
        <v>392</v>
      </c>
      <c r="D7925" s="148" t="s">
        <v>393</v>
      </c>
      <c r="E7925" s="149"/>
      <c r="F7925" s="149"/>
      <c r="G7925" s="164">
        <v>0.1</v>
      </c>
      <c r="H7925" s="151"/>
      <c r="I7925" s="146">
        <f>G7925*I7924</f>
        <v>13055.300000000001</v>
      </c>
    </row>
    <row r="7926" spans="2:10" ht="15.95" customHeight="1" thickBot="1" x14ac:dyDescent="0.3">
      <c r="C7926" s="111" t="s">
        <v>394</v>
      </c>
      <c r="D7926" s="112" t="s">
        <v>395</v>
      </c>
      <c r="E7926" s="134"/>
      <c r="F7926" s="134"/>
      <c r="G7926" s="156"/>
      <c r="H7926" s="136">
        <f>IF(AND(D7926&lt;&gt;"",F7926&lt;&gt;""),IF(C7926="",IF(F7926="OH",VLOOKUP(D7926,[1]UPAH!$B$3:$G$32,7,0),VLOOKUP(D7926,[1]BAHAN!$A$2:$D$3,4,0)),0),0)</f>
        <v>0</v>
      </c>
      <c r="I7926" s="137">
        <f>ROUNDDOWN(I7924+I7925,0)</f>
        <v>143608</v>
      </c>
    </row>
    <row r="7927" spans="2:10" ht="15.95" customHeight="1" x14ac:dyDescent="0.25">
      <c r="C7927" s="109"/>
      <c r="D7927" s="109"/>
      <c r="G7927" s="157"/>
    </row>
    <row r="7928" spans="2:10" ht="15.95" customHeight="1" thickBot="1" x14ac:dyDescent="0.3">
      <c r="B7928" s="109" t="s">
        <v>1635</v>
      </c>
      <c r="C7928" s="104" t="s">
        <v>1636</v>
      </c>
      <c r="G7928" s="157"/>
      <c r="J7928" s="110">
        <f>I7947</f>
        <v>230915</v>
      </c>
    </row>
    <row r="7929" spans="2:10" ht="15.95" customHeight="1" thickBot="1" x14ac:dyDescent="0.3">
      <c r="C7929" s="111" t="s">
        <v>328</v>
      </c>
      <c r="D7929" s="112" t="s">
        <v>359</v>
      </c>
      <c r="E7929" s="113" t="s">
        <v>360</v>
      </c>
      <c r="F7929" s="113" t="s">
        <v>330</v>
      </c>
      <c r="G7929" s="114" t="s">
        <v>361</v>
      </c>
      <c r="H7929" s="112" t="s">
        <v>362</v>
      </c>
      <c r="I7929" s="115" t="s">
        <v>363</v>
      </c>
    </row>
    <row r="7930" spans="2:10" ht="15.95" customHeight="1" x14ac:dyDescent="0.25">
      <c r="C7930" s="158" t="s">
        <v>364</v>
      </c>
      <c r="D7930" s="159" t="s">
        <v>365</v>
      </c>
      <c r="E7930" s="160"/>
      <c r="F7930" s="160"/>
      <c r="G7930" s="161"/>
      <c r="H7930" s="162"/>
      <c r="I7930" s="163"/>
    </row>
    <row r="7931" spans="2:10" ht="15.95" customHeight="1" x14ac:dyDescent="0.25">
      <c r="C7931" s="122"/>
      <c r="D7931" s="117" t="s">
        <v>366</v>
      </c>
      <c r="E7931" s="123" t="s">
        <v>367</v>
      </c>
      <c r="F7931" s="239" t="s">
        <v>368</v>
      </c>
      <c r="G7931" s="242">
        <v>0.38</v>
      </c>
      <c r="H7931" s="243">
        <f>VLOOKUP(D7931,Upah,8,FALSE)</f>
        <v>125000</v>
      </c>
      <c r="I7931" s="126">
        <f>G7931*H7931</f>
        <v>47500</v>
      </c>
    </row>
    <row r="7932" spans="2:10" ht="15.95" customHeight="1" x14ac:dyDescent="0.25">
      <c r="C7932" s="122"/>
      <c r="D7932" s="117" t="s">
        <v>413</v>
      </c>
      <c r="E7932" s="123" t="s">
        <v>414</v>
      </c>
      <c r="F7932" s="239" t="s">
        <v>368</v>
      </c>
      <c r="G7932" s="242">
        <v>0.19</v>
      </c>
      <c r="H7932" s="243">
        <f>VLOOKUP(D7932,Upah,8,FALSE)</f>
        <v>150000</v>
      </c>
      <c r="I7932" s="126">
        <f>G7932*H7932</f>
        <v>28500</v>
      </c>
    </row>
    <row r="7933" spans="2:10" ht="15.95" customHeight="1" x14ac:dyDescent="0.25">
      <c r="C7933" s="122"/>
      <c r="D7933" s="117" t="s">
        <v>429</v>
      </c>
      <c r="E7933" s="123" t="s">
        <v>372</v>
      </c>
      <c r="F7933" s="239" t="s">
        <v>368</v>
      </c>
      <c r="G7933" s="242">
        <v>1.9E-2</v>
      </c>
      <c r="H7933" s="243">
        <f>VLOOKUP(D7933,Upah,8,FALSE)</f>
        <v>165000</v>
      </c>
      <c r="I7933" s="126">
        <f>G7933*H7933</f>
        <v>3135</v>
      </c>
    </row>
    <row r="7934" spans="2:10" ht="15.95" customHeight="1" thickBot="1" x14ac:dyDescent="0.3">
      <c r="C7934" s="122"/>
      <c r="D7934" s="117" t="s">
        <v>373</v>
      </c>
      <c r="E7934" s="123" t="s">
        <v>374</v>
      </c>
      <c r="F7934" s="239" t="s">
        <v>368</v>
      </c>
      <c r="G7934" s="242">
        <v>1.9E-2</v>
      </c>
      <c r="H7934" s="243">
        <f>VLOOKUP(D7934,Upah,8,FALSE)</f>
        <v>170000</v>
      </c>
      <c r="I7934" s="126">
        <f>G7934*H7934</f>
        <v>3230</v>
      </c>
    </row>
    <row r="7935" spans="2:10" ht="15.95" customHeight="1" thickBot="1" x14ac:dyDescent="0.3">
      <c r="C7935" s="132"/>
      <c r="D7935" s="133"/>
      <c r="E7935" s="134"/>
      <c r="F7935" s="134"/>
      <c r="G7935" s="135" t="s">
        <v>375</v>
      </c>
      <c r="H7935" s="136"/>
      <c r="I7935" s="137">
        <f>SUM(I7931:I7934)</f>
        <v>82365</v>
      </c>
    </row>
    <row r="7936" spans="2:10" ht="15.95" customHeight="1" x14ac:dyDescent="0.25">
      <c r="C7936" s="116" t="s">
        <v>376</v>
      </c>
      <c r="D7936" s="117" t="s">
        <v>377</v>
      </c>
      <c r="E7936" s="118"/>
      <c r="F7936" s="118"/>
      <c r="G7936" s="165"/>
      <c r="H7936" s="144"/>
      <c r="I7936" s="126"/>
    </row>
    <row r="7937" spans="1:10" ht="15.95" customHeight="1" x14ac:dyDescent="0.25">
      <c r="C7937" s="122"/>
      <c r="D7937" s="117" t="s">
        <v>1634</v>
      </c>
      <c r="E7937" s="118"/>
      <c r="F7937" s="239" t="s">
        <v>418</v>
      </c>
      <c r="G7937" s="242">
        <v>1.1000000000000001</v>
      </c>
      <c r="H7937" s="144">
        <f>VLOOKUP(D7937,Bahan,6,FALSE)</f>
        <v>64900</v>
      </c>
      <c r="I7937" s="126">
        <f>G7937*H7937</f>
        <v>71390</v>
      </c>
    </row>
    <row r="7938" spans="1:10" ht="15.95" customHeight="1" x14ac:dyDescent="0.25">
      <c r="C7938" s="122"/>
      <c r="D7938" s="117" t="s">
        <v>417</v>
      </c>
      <c r="E7938" s="118"/>
      <c r="F7938" s="239" t="s">
        <v>489</v>
      </c>
      <c r="G7938" s="242">
        <v>0.55000000000000004</v>
      </c>
      <c r="H7938" s="144">
        <f>VLOOKUP(D7938,Bahan,6,FALSE)</f>
        <v>1040</v>
      </c>
      <c r="I7938" s="126">
        <f>G7938*H7938</f>
        <v>572</v>
      </c>
    </row>
    <row r="7939" spans="1:10" ht="15.95" customHeight="1" x14ac:dyDescent="0.25">
      <c r="C7939" s="122"/>
      <c r="D7939" s="117" t="s">
        <v>380</v>
      </c>
      <c r="E7939" s="118"/>
      <c r="F7939" s="239" t="s">
        <v>159</v>
      </c>
      <c r="G7939" s="242">
        <v>10.3</v>
      </c>
      <c r="H7939" s="144">
        <f>VLOOKUP(D7939,Bahan,6,FALSE)</f>
        <v>1880</v>
      </c>
      <c r="I7939" s="126">
        <f>G7939*H7939</f>
        <v>19364</v>
      </c>
    </row>
    <row r="7940" spans="1:10" ht="15.95" customHeight="1" x14ac:dyDescent="0.25">
      <c r="C7940" s="122"/>
      <c r="D7940" s="117" t="s">
        <v>416</v>
      </c>
      <c r="E7940" s="118"/>
      <c r="F7940" s="239" t="s">
        <v>489</v>
      </c>
      <c r="G7940" s="242">
        <v>6.0999999999999999E-2</v>
      </c>
      <c r="H7940" s="144">
        <f>VLOOKUP(D7940,Bahan,6,FALSE)</f>
        <v>253510</v>
      </c>
      <c r="I7940" s="126">
        <f>G7940*H7940</f>
        <v>15464.109999999999</v>
      </c>
    </row>
    <row r="7941" spans="1:10" ht="15.95" customHeight="1" thickBot="1" x14ac:dyDescent="0.3">
      <c r="C7941" s="122"/>
      <c r="D7941" s="117" t="s">
        <v>488</v>
      </c>
      <c r="E7941" s="118"/>
      <c r="F7941" s="239" t="s">
        <v>489</v>
      </c>
      <c r="G7941" s="242">
        <v>6.9000000000000006E-2</v>
      </c>
      <c r="H7941" s="144">
        <f>VLOOKUP(D7941,Bahan,6,FALSE)</f>
        <v>300990</v>
      </c>
      <c r="I7941" s="126">
        <f>G7941*H7941</f>
        <v>20768.310000000001</v>
      </c>
    </row>
    <row r="7942" spans="1:10" ht="15.95" customHeight="1" thickBot="1" x14ac:dyDescent="0.3">
      <c r="C7942" s="132"/>
      <c r="D7942" s="133"/>
      <c r="E7942" s="134"/>
      <c r="F7942" s="134"/>
      <c r="G7942" s="135" t="s">
        <v>386</v>
      </c>
      <c r="H7942" s="136"/>
      <c r="I7942" s="137">
        <f>SUM(I7937:I7941)</f>
        <v>127558.42</v>
      </c>
    </row>
    <row r="7943" spans="1:10" ht="15.95" customHeight="1" thickBot="1" x14ac:dyDescent="0.3">
      <c r="C7943" s="116" t="s">
        <v>387</v>
      </c>
      <c r="D7943" s="117" t="s">
        <v>388</v>
      </c>
      <c r="E7943" s="118"/>
      <c r="F7943" s="118"/>
      <c r="G7943" s="165"/>
      <c r="H7943" s="144">
        <f>IF(AND(D7943&lt;&gt;"",F7943&lt;&gt;""),IF(C7943="",IF(F7943="OH",VLOOKUP(D7943,[1]UPAH!$B$3:$G$32,7,0),VLOOKUP(D7943,[1]BAHAN!$A$2:$D$3,4,0)),0),0)</f>
        <v>0</v>
      </c>
      <c r="I7943" s="126">
        <f>G7943*H7943</f>
        <v>0</v>
      </c>
    </row>
    <row r="7944" spans="1:10" ht="15.95" customHeight="1" thickBot="1" x14ac:dyDescent="0.3">
      <c r="C7944" s="132"/>
      <c r="D7944" s="133"/>
      <c r="E7944" s="134"/>
      <c r="F7944" s="134"/>
      <c r="G7944" s="135" t="s">
        <v>389</v>
      </c>
      <c r="H7944" s="136"/>
      <c r="I7944" s="137">
        <f>I7943</f>
        <v>0</v>
      </c>
    </row>
    <row r="7945" spans="1:10" ht="15.95" customHeight="1" x14ac:dyDescent="0.25">
      <c r="C7945" s="158" t="s">
        <v>390</v>
      </c>
      <c r="D7945" s="159" t="s">
        <v>391</v>
      </c>
      <c r="E7945" s="160"/>
      <c r="F7945" s="160"/>
      <c r="G7945" s="161"/>
      <c r="H7945" s="162">
        <f>IF(AND(D7945&lt;&gt;"",F7945&lt;&gt;""),IF(C7945="",IF(F7945="OH",VLOOKUP(D7945,[1]UPAH!$B$3:$G$32,7,0),VLOOKUP(D7945,[1]BAHAN!$A$2:$D$3,4,0)),0),0)</f>
        <v>0</v>
      </c>
      <c r="I7945" s="126">
        <f>SUM(I7931:I7944)/2</f>
        <v>209923.41999999998</v>
      </c>
    </row>
    <row r="7946" spans="1:10" ht="15.95" customHeight="1" thickBot="1" x14ac:dyDescent="0.3">
      <c r="C7946" s="147" t="s">
        <v>392</v>
      </c>
      <c r="D7946" s="148" t="s">
        <v>393</v>
      </c>
      <c r="E7946" s="149"/>
      <c r="F7946" s="149"/>
      <c r="G7946" s="164">
        <v>0.1</v>
      </c>
      <c r="H7946" s="151"/>
      <c r="I7946" s="146">
        <f>G7946*I7945</f>
        <v>20992.342000000001</v>
      </c>
    </row>
    <row r="7947" spans="1:10" ht="15.95" customHeight="1" thickBot="1" x14ac:dyDescent="0.3">
      <c r="C7947" s="111" t="s">
        <v>394</v>
      </c>
      <c r="D7947" s="112" t="s">
        <v>395</v>
      </c>
      <c r="E7947" s="134"/>
      <c r="F7947" s="134"/>
      <c r="G7947" s="156"/>
      <c r="H7947" s="136">
        <f>IF(AND(D7947&lt;&gt;"",F7947&lt;&gt;""),IF(C7947="",IF(F7947="OH",VLOOKUP(D7947,[1]UPAH!$B$3:$G$32,7,0),VLOOKUP(D7947,[1]BAHAN!$A$2:$D$3,4,0)),0),0)</f>
        <v>0</v>
      </c>
      <c r="I7947" s="137">
        <f>ROUNDDOWN(I7945+I7946,0)</f>
        <v>230915</v>
      </c>
    </row>
    <row r="7948" spans="1:10" ht="15.95" customHeight="1" x14ac:dyDescent="0.25">
      <c r="C7948" s="109"/>
      <c r="D7948" s="109"/>
      <c r="G7948" s="157"/>
    </row>
    <row r="7949" spans="1:10" ht="15.95" customHeight="1" x14ac:dyDescent="0.25">
      <c r="A7949" s="572" t="s">
        <v>1771</v>
      </c>
      <c r="B7949" s="103" t="s">
        <v>1772</v>
      </c>
      <c r="C7949" s="109"/>
      <c r="D7949" s="109"/>
      <c r="G7949" s="157"/>
      <c r="H7949" s="166"/>
      <c r="I7949" s="110"/>
    </row>
    <row r="7950" spans="1:10" ht="13.5" thickBot="1" x14ac:dyDescent="0.3">
      <c r="B7950" s="247" t="s">
        <v>1773</v>
      </c>
      <c r="C7950" s="104" t="s">
        <v>1929</v>
      </c>
      <c r="G7950" s="157"/>
      <c r="J7950" s="173">
        <f>I7970</f>
        <v>931133</v>
      </c>
    </row>
    <row r="7951" spans="1:10" ht="13.5" thickBot="1" x14ac:dyDescent="0.3">
      <c r="C7951" s="111" t="s">
        <v>328</v>
      </c>
      <c r="D7951" s="112" t="s">
        <v>359</v>
      </c>
      <c r="E7951" s="113" t="s">
        <v>360</v>
      </c>
      <c r="F7951" s="113" t="s">
        <v>330</v>
      </c>
      <c r="G7951" s="114" t="s">
        <v>361</v>
      </c>
      <c r="H7951" s="112" t="s">
        <v>362</v>
      </c>
      <c r="I7951" s="115" t="s">
        <v>363</v>
      </c>
    </row>
    <row r="7952" spans="1:10" x14ac:dyDescent="0.25">
      <c r="C7952" s="116" t="s">
        <v>364</v>
      </c>
      <c r="D7952" s="117" t="s">
        <v>365</v>
      </c>
      <c r="E7952" s="118"/>
      <c r="F7952" s="118"/>
      <c r="G7952" s="165"/>
      <c r="H7952" s="144"/>
      <c r="I7952" s="126"/>
    </row>
    <row r="7953" spans="3:9" ht="15.95" customHeight="1" thickBot="1" x14ac:dyDescent="0.3">
      <c r="C7953" s="122"/>
      <c r="D7953" s="376" t="s">
        <v>1930</v>
      </c>
      <c r="E7953" s="123"/>
      <c r="F7953" s="123" t="s">
        <v>1147</v>
      </c>
      <c r="G7953" s="377">
        <v>1</v>
      </c>
      <c r="H7953" s="144">
        <f>I7965</f>
        <v>423242.54</v>
      </c>
      <c r="I7953" s="126">
        <f>G7953*H7953</f>
        <v>423242.54</v>
      </c>
    </row>
    <row r="7954" spans="3:9" ht="18" customHeight="1" thickBot="1" x14ac:dyDescent="0.3">
      <c r="C7954" s="132"/>
      <c r="D7954" s="133"/>
      <c r="E7954" s="134"/>
      <c r="F7954" s="134"/>
      <c r="G7954" s="135" t="s">
        <v>375</v>
      </c>
      <c r="H7954" s="136"/>
      <c r="I7954" s="137">
        <f>SUM(I7951:I7953)</f>
        <v>423242.54</v>
      </c>
    </row>
    <row r="7955" spans="3:9" ht="15.95" customHeight="1" x14ac:dyDescent="0.25">
      <c r="C7955" s="116" t="s">
        <v>376</v>
      </c>
      <c r="D7955" s="117" t="s">
        <v>377</v>
      </c>
      <c r="E7955" s="118"/>
      <c r="F7955" s="118"/>
      <c r="G7955" s="165"/>
      <c r="H7955" s="144"/>
      <c r="I7955" s="126"/>
    </row>
    <row r="7956" spans="3:9" ht="15.95" customHeight="1" x14ac:dyDescent="0.25">
      <c r="C7956" s="122"/>
      <c r="D7956" s="184" t="s">
        <v>1774</v>
      </c>
      <c r="E7956" s="378"/>
      <c r="F7956" s="123" t="s">
        <v>1775</v>
      </c>
      <c r="G7956" s="124">
        <v>0.28299999999999997</v>
      </c>
      <c r="H7956" s="144">
        <f t="shared" ref="H7956:H7964" si="80">VLOOKUP(D7956,Bahan,6,FALSE)</f>
        <v>15380</v>
      </c>
      <c r="I7956" s="126">
        <f t="shared" ref="I7956:I7964" si="81">G7956*H7956</f>
        <v>4352.54</v>
      </c>
    </row>
    <row r="7957" spans="3:9" ht="15.95" customHeight="1" x14ac:dyDescent="0.25">
      <c r="C7957" s="122"/>
      <c r="D7957" s="117" t="s">
        <v>1776</v>
      </c>
      <c r="E7957" s="378"/>
      <c r="F7957" s="123" t="s">
        <v>127</v>
      </c>
      <c r="G7957" s="124">
        <v>24</v>
      </c>
      <c r="H7957" s="144">
        <f t="shared" si="80"/>
        <v>11600</v>
      </c>
      <c r="I7957" s="126">
        <f t="shared" si="81"/>
        <v>278400</v>
      </c>
    </row>
    <row r="7958" spans="3:9" ht="15.95" customHeight="1" x14ac:dyDescent="0.25">
      <c r="C7958" s="122"/>
      <c r="D7958" s="117" t="s">
        <v>1777</v>
      </c>
      <c r="E7958" s="378"/>
      <c r="F7958" s="123" t="s">
        <v>130</v>
      </c>
      <c r="G7958" s="124">
        <v>3</v>
      </c>
      <c r="H7958" s="144">
        <f t="shared" si="80"/>
        <v>1770</v>
      </c>
      <c r="I7958" s="126">
        <f t="shared" si="81"/>
        <v>5310</v>
      </c>
    </row>
    <row r="7959" spans="3:9" ht="15.95" customHeight="1" x14ac:dyDescent="0.25">
      <c r="C7959" s="122"/>
      <c r="D7959" s="184" t="s">
        <v>1778</v>
      </c>
      <c r="E7959" s="378"/>
      <c r="F7959" s="123" t="s">
        <v>130</v>
      </c>
      <c r="G7959" s="124">
        <v>4</v>
      </c>
      <c r="H7959" s="144">
        <f t="shared" si="80"/>
        <v>12300</v>
      </c>
      <c r="I7959" s="126">
        <f t="shared" si="81"/>
        <v>49200</v>
      </c>
    </row>
    <row r="7960" spans="3:9" ht="15.95" customHeight="1" x14ac:dyDescent="0.25">
      <c r="C7960" s="122"/>
      <c r="D7960" s="184" t="s">
        <v>1779</v>
      </c>
      <c r="E7960" s="378"/>
      <c r="F7960" s="123" t="s">
        <v>130</v>
      </c>
      <c r="G7960" s="124">
        <v>3</v>
      </c>
      <c r="H7960" s="144">
        <f t="shared" si="80"/>
        <v>1190</v>
      </c>
      <c r="I7960" s="126">
        <f t="shared" si="81"/>
        <v>3570</v>
      </c>
    </row>
    <row r="7961" spans="3:9" ht="15.95" customHeight="1" x14ac:dyDescent="0.25">
      <c r="C7961" s="122"/>
      <c r="D7961" s="117" t="s">
        <v>1780</v>
      </c>
      <c r="E7961" s="378"/>
      <c r="F7961" s="123" t="s">
        <v>130</v>
      </c>
      <c r="G7961" s="124">
        <v>24</v>
      </c>
      <c r="H7961" s="144">
        <f t="shared" si="80"/>
        <v>940</v>
      </c>
      <c r="I7961" s="126">
        <f t="shared" si="81"/>
        <v>22560</v>
      </c>
    </row>
    <row r="7962" spans="3:9" ht="15.95" customHeight="1" x14ac:dyDescent="0.25">
      <c r="C7962" s="122"/>
      <c r="D7962" s="184" t="s">
        <v>1781</v>
      </c>
      <c r="E7962" s="378"/>
      <c r="F7962" s="123" t="s">
        <v>130</v>
      </c>
      <c r="G7962" s="124">
        <v>1</v>
      </c>
      <c r="H7962" s="144">
        <f t="shared" si="80"/>
        <v>1850</v>
      </c>
      <c r="I7962" s="126">
        <f t="shared" si="81"/>
        <v>1850</v>
      </c>
    </row>
    <row r="7963" spans="3:9" ht="15.95" customHeight="1" x14ac:dyDescent="0.25">
      <c r="C7963" s="122"/>
      <c r="D7963" s="184" t="s">
        <v>1914</v>
      </c>
      <c r="E7963" s="378"/>
      <c r="F7963" s="123" t="s">
        <v>130</v>
      </c>
      <c r="G7963" s="124">
        <v>1</v>
      </c>
      <c r="H7963" s="144">
        <f t="shared" si="80"/>
        <v>27500</v>
      </c>
      <c r="I7963" s="126">
        <f t="shared" si="81"/>
        <v>27500</v>
      </c>
    </row>
    <row r="7964" spans="3:9" ht="15.95" customHeight="1" thickBot="1" x14ac:dyDescent="0.3">
      <c r="C7964" s="122"/>
      <c r="D7964" s="117" t="s">
        <v>1782</v>
      </c>
      <c r="E7964" s="118"/>
      <c r="F7964" s="123" t="s">
        <v>130</v>
      </c>
      <c r="G7964" s="124">
        <v>1</v>
      </c>
      <c r="H7964" s="144">
        <f t="shared" si="80"/>
        <v>30500</v>
      </c>
      <c r="I7964" s="126">
        <f t="shared" si="81"/>
        <v>30500</v>
      </c>
    </row>
    <row r="7965" spans="3:9" ht="15.95" customHeight="1" thickBot="1" x14ac:dyDescent="0.3">
      <c r="C7965" s="132"/>
      <c r="D7965" s="133"/>
      <c r="E7965" s="134"/>
      <c r="F7965" s="134"/>
      <c r="G7965" s="135" t="s">
        <v>386</v>
      </c>
      <c r="H7965" s="136"/>
      <c r="I7965" s="137">
        <f>SUM(I7956:I7964)</f>
        <v>423242.54</v>
      </c>
    </row>
    <row r="7966" spans="3:9" ht="15.95" customHeight="1" thickBot="1" x14ac:dyDescent="0.3">
      <c r="C7966" s="116" t="s">
        <v>387</v>
      </c>
      <c r="D7966" s="117" t="s">
        <v>388</v>
      </c>
      <c r="E7966" s="118"/>
      <c r="F7966" s="118"/>
      <c r="G7966" s="165"/>
      <c r="H7966" s="144">
        <f>IF(AND(D7966&lt;&gt;"",F7966&lt;&gt;""),IF(C7966="",IF(F7966="OH",VLOOKUP(D7966,[1]UPAH!$B$3:$G$32,7,0),VLOOKUP(D7966,[1]BAHAN!$A$2:$D$3,4,0)),0),0)</f>
        <v>0</v>
      </c>
      <c r="I7966" s="126">
        <f>G7966*H7966</f>
        <v>0</v>
      </c>
    </row>
    <row r="7967" spans="3:9" ht="15.95" customHeight="1" thickBot="1" x14ac:dyDescent="0.3">
      <c r="C7967" s="132"/>
      <c r="D7967" s="133"/>
      <c r="E7967" s="134"/>
      <c r="F7967" s="134"/>
      <c r="G7967" s="135" t="s">
        <v>389</v>
      </c>
      <c r="H7967" s="136"/>
      <c r="I7967" s="137">
        <f>I7966</f>
        <v>0</v>
      </c>
    </row>
    <row r="7968" spans="3:9" ht="15.95" customHeight="1" x14ac:dyDescent="0.25">
      <c r="C7968" s="158" t="s">
        <v>390</v>
      </c>
      <c r="D7968" s="159" t="s">
        <v>391</v>
      </c>
      <c r="E7968" s="160"/>
      <c r="F7968" s="160"/>
      <c r="G7968" s="161"/>
      <c r="H7968" s="162">
        <f>IF(AND(D7968&lt;&gt;"",F7968&lt;&gt;""),IF(C7968="",IF(F7968="OH",VLOOKUP(D7968,[1]UPAH!$B$3:$G$32,7,0),VLOOKUP(D7968,[1]BAHAN!$A$2:$D$3,4,0)),0),0)</f>
        <v>0</v>
      </c>
      <c r="I7968" s="126">
        <f>SUM(I7952:I7967)/2</f>
        <v>846485.08000000007</v>
      </c>
    </row>
    <row r="7969" spans="2:10" ht="15.95" customHeight="1" thickBot="1" x14ac:dyDescent="0.3">
      <c r="C7969" s="147" t="s">
        <v>392</v>
      </c>
      <c r="D7969" s="148" t="s">
        <v>393</v>
      </c>
      <c r="E7969" s="149"/>
      <c r="F7969" s="149"/>
      <c r="G7969" s="244">
        <v>0.1</v>
      </c>
      <c r="H7969" s="151"/>
      <c r="I7969" s="146">
        <f>G7969*I7968</f>
        <v>84648.508000000016</v>
      </c>
    </row>
    <row r="7970" spans="2:10" ht="15.95" customHeight="1" thickBot="1" x14ac:dyDescent="0.3">
      <c r="C7970" s="111" t="s">
        <v>394</v>
      </c>
      <c r="D7970" s="112" t="s">
        <v>395</v>
      </c>
      <c r="E7970" s="134"/>
      <c r="F7970" s="134"/>
      <c r="G7970" s="156"/>
      <c r="H7970" s="136">
        <f>IF(AND(D7970&lt;&gt;"",F7970&lt;&gt;""),IF(C7970="",IF(F7970="OH",VLOOKUP(D7970,[1]UPAH!$B$3:$G$32,7,0),VLOOKUP(D7970,[1]BAHAN!$A$2:$D$3,4,0)),0),0)</f>
        <v>0</v>
      </c>
      <c r="I7970" s="137">
        <f>ROUNDDOWN(I7968+I7969,0)</f>
        <v>931133</v>
      </c>
    </row>
    <row r="7971" spans="2:10" x14ac:dyDescent="0.25">
      <c r="C7971" s="109"/>
      <c r="D7971" s="109"/>
      <c r="G7971" s="157"/>
      <c r="H7971" s="166"/>
      <c r="I7971" s="110"/>
    </row>
    <row r="7972" spans="2:10" ht="15.75" thickBot="1" x14ac:dyDescent="0.3">
      <c r="B7972" s="247" t="s">
        <v>1783</v>
      </c>
      <c r="C7972" s="379" t="s">
        <v>1931</v>
      </c>
      <c r="D7972" s="380"/>
      <c r="E7972" s="381"/>
      <c r="F7972" s="381"/>
      <c r="G7972" s="382"/>
      <c r="H7972" s="383"/>
      <c r="J7972" s="110">
        <f>I7994</f>
        <v>306611</v>
      </c>
    </row>
    <row r="7973" spans="2:10" ht="13.5" thickBot="1" x14ac:dyDescent="0.3">
      <c r="C7973" s="111" t="s">
        <v>328</v>
      </c>
      <c r="D7973" s="112" t="s">
        <v>359</v>
      </c>
      <c r="E7973" s="113" t="s">
        <v>360</v>
      </c>
      <c r="F7973" s="113" t="s">
        <v>330</v>
      </c>
      <c r="G7973" s="114" t="s">
        <v>361</v>
      </c>
      <c r="H7973" s="112" t="s">
        <v>362</v>
      </c>
      <c r="I7973" s="115" t="s">
        <v>363</v>
      </c>
    </row>
    <row r="7974" spans="2:10" x14ac:dyDescent="0.25">
      <c r="C7974" s="116" t="s">
        <v>364</v>
      </c>
      <c r="D7974" s="117" t="s">
        <v>365</v>
      </c>
      <c r="E7974" s="118"/>
      <c r="F7974" s="118"/>
      <c r="G7974" s="165"/>
      <c r="H7974" s="144"/>
      <c r="I7974" s="126"/>
    </row>
    <row r="7975" spans="2:10" x14ac:dyDescent="0.25">
      <c r="C7975" s="122"/>
      <c r="D7975" s="376" t="s">
        <v>366</v>
      </c>
      <c r="E7975" s="123" t="s">
        <v>367</v>
      </c>
      <c r="F7975" s="123" t="s">
        <v>368</v>
      </c>
      <c r="G7975" s="377">
        <v>0.15</v>
      </c>
      <c r="H7975" s="243">
        <f>VLOOKUP(D7975,Upah,8,FALSE)</f>
        <v>125000</v>
      </c>
      <c r="I7975" s="126">
        <f>G7975*H7975</f>
        <v>18750</v>
      </c>
    </row>
    <row r="7976" spans="2:10" x14ac:dyDescent="0.25">
      <c r="C7976" s="122"/>
      <c r="D7976" s="384" t="s">
        <v>455</v>
      </c>
      <c r="E7976" s="123" t="s">
        <v>414</v>
      </c>
      <c r="F7976" s="123" t="s">
        <v>368</v>
      </c>
      <c r="G7976" s="377">
        <v>0.15</v>
      </c>
      <c r="H7976" s="243">
        <f>VLOOKUP(D7976,Upah,8,FALSE)</f>
        <v>150000</v>
      </c>
      <c r="I7976" s="126">
        <f>G7976*H7976</f>
        <v>22500</v>
      </c>
    </row>
    <row r="7977" spans="2:10" x14ac:dyDescent="0.25">
      <c r="C7977" s="122"/>
      <c r="D7977" s="376" t="s">
        <v>429</v>
      </c>
      <c r="E7977" s="123" t="s">
        <v>372</v>
      </c>
      <c r="F7977" s="123" t="s">
        <v>368</v>
      </c>
      <c r="G7977" s="377">
        <v>0.03</v>
      </c>
      <c r="H7977" s="243">
        <f>VLOOKUP(D7977,Upah,8,FALSE)</f>
        <v>165000</v>
      </c>
      <c r="I7977" s="126">
        <f>G7977*H7977</f>
        <v>4950</v>
      </c>
    </row>
    <row r="7978" spans="2:10" ht="13.5" thickBot="1" x14ac:dyDescent="0.3">
      <c r="C7978" s="122"/>
      <c r="D7978" s="384" t="s">
        <v>373</v>
      </c>
      <c r="E7978" s="123" t="s">
        <v>374</v>
      </c>
      <c r="F7978" s="123" t="s">
        <v>368</v>
      </c>
      <c r="G7978" s="377">
        <v>0.03</v>
      </c>
      <c r="H7978" s="243">
        <f>VLOOKUP(D7978,Upah,8,FALSE)</f>
        <v>170000</v>
      </c>
      <c r="I7978" s="126">
        <f>G7978*H7978</f>
        <v>5100</v>
      </c>
    </row>
    <row r="7979" spans="2:10" ht="13.5" thickBot="1" x14ac:dyDescent="0.3">
      <c r="C7979" s="132"/>
      <c r="D7979" s="133"/>
      <c r="E7979" s="134"/>
      <c r="F7979" s="134"/>
      <c r="G7979" s="135" t="s">
        <v>375</v>
      </c>
      <c r="H7979" s="136"/>
      <c r="I7979" s="137">
        <f>SUM(I7975:I7978)</f>
        <v>51300</v>
      </c>
    </row>
    <row r="7980" spans="2:10" x14ac:dyDescent="0.25">
      <c r="C7980" s="116" t="s">
        <v>376</v>
      </c>
      <c r="D7980" s="117" t="s">
        <v>377</v>
      </c>
      <c r="E7980" s="118"/>
      <c r="F7980" s="118"/>
      <c r="G7980" s="165"/>
      <c r="H7980" s="144"/>
      <c r="I7980" s="126"/>
    </row>
    <row r="7981" spans="2:10" x14ac:dyDescent="0.25">
      <c r="C7981" s="116"/>
      <c r="D7981" s="117" t="s">
        <v>1776</v>
      </c>
      <c r="E7981" s="118"/>
      <c r="F7981" s="123" t="s">
        <v>284</v>
      </c>
      <c r="G7981" s="385">
        <v>11</v>
      </c>
      <c r="H7981" s="144">
        <f t="shared" ref="H7981:H7988" si="82">VLOOKUP(D7981,Bahan,6,FALSE)</f>
        <v>11600</v>
      </c>
      <c r="I7981" s="126">
        <f t="shared" ref="I7981:I7988" si="83">G7981*H7981</f>
        <v>127600</v>
      </c>
    </row>
    <row r="7982" spans="2:10" x14ac:dyDescent="0.25">
      <c r="C7982" s="116"/>
      <c r="D7982" s="117" t="s">
        <v>1784</v>
      </c>
      <c r="E7982" s="118"/>
      <c r="F7982" s="123" t="s">
        <v>284</v>
      </c>
      <c r="G7982" s="385">
        <v>11</v>
      </c>
      <c r="H7982" s="144">
        <f t="shared" si="82"/>
        <v>6140</v>
      </c>
      <c r="I7982" s="126">
        <f t="shared" si="83"/>
        <v>67540</v>
      </c>
    </row>
    <row r="7983" spans="2:10" x14ac:dyDescent="0.25">
      <c r="C7983" s="116"/>
      <c r="D7983" s="117" t="s">
        <v>1785</v>
      </c>
      <c r="E7983" s="118"/>
      <c r="F7983" s="123" t="s">
        <v>130</v>
      </c>
      <c r="G7983" s="385">
        <v>1</v>
      </c>
      <c r="H7983" s="144">
        <f t="shared" si="82"/>
        <v>16520</v>
      </c>
      <c r="I7983" s="126">
        <f t="shared" si="83"/>
        <v>16520</v>
      </c>
    </row>
    <row r="7984" spans="2:10" x14ac:dyDescent="0.25">
      <c r="C7984" s="116"/>
      <c r="D7984" s="117" t="s">
        <v>1777</v>
      </c>
      <c r="E7984" s="118"/>
      <c r="F7984" s="123" t="s">
        <v>130</v>
      </c>
      <c r="G7984" s="385">
        <v>2</v>
      </c>
      <c r="H7984" s="144">
        <f t="shared" si="82"/>
        <v>1770</v>
      </c>
      <c r="I7984" s="126">
        <f t="shared" si="83"/>
        <v>3540</v>
      </c>
    </row>
    <row r="7985" spans="2:10" x14ac:dyDescent="0.25">
      <c r="C7985" s="116"/>
      <c r="D7985" s="212" t="s">
        <v>1786</v>
      </c>
      <c r="E7985" s="118"/>
      <c r="F7985" s="123" t="s">
        <v>130</v>
      </c>
      <c r="G7985" s="385">
        <v>3</v>
      </c>
      <c r="H7985" s="144">
        <f t="shared" si="82"/>
        <v>1860</v>
      </c>
      <c r="I7985" s="126">
        <f t="shared" si="83"/>
        <v>5580</v>
      </c>
    </row>
    <row r="7986" spans="2:10" x14ac:dyDescent="0.25">
      <c r="C7986" s="122"/>
      <c r="D7986" s="117" t="s">
        <v>1787</v>
      </c>
      <c r="E7986" s="118"/>
      <c r="F7986" s="123" t="s">
        <v>130</v>
      </c>
      <c r="G7986" s="385">
        <v>6</v>
      </c>
      <c r="H7986" s="144">
        <f t="shared" si="82"/>
        <v>700</v>
      </c>
      <c r="I7986" s="126">
        <f t="shared" si="83"/>
        <v>4200</v>
      </c>
    </row>
    <row r="7987" spans="2:10" x14ac:dyDescent="0.25">
      <c r="C7987" s="122"/>
      <c r="D7987" s="117" t="s">
        <v>1779</v>
      </c>
      <c r="E7987" s="118"/>
      <c r="F7987" s="123" t="s">
        <v>130</v>
      </c>
      <c r="G7987" s="385">
        <v>2</v>
      </c>
      <c r="H7987" s="144">
        <f t="shared" si="82"/>
        <v>1190</v>
      </c>
      <c r="I7987" s="126">
        <f t="shared" si="83"/>
        <v>2380</v>
      </c>
    </row>
    <row r="7988" spans="2:10" ht="13.5" thickBot="1" x14ac:dyDescent="0.3">
      <c r="C7988" s="122"/>
      <c r="D7988" s="117" t="s">
        <v>1788</v>
      </c>
      <c r="E7988" s="118"/>
      <c r="F7988" s="123" t="s">
        <v>130</v>
      </c>
      <c r="G7988" s="385">
        <v>0.25</v>
      </c>
      <c r="H7988" s="144">
        <f t="shared" si="82"/>
        <v>310</v>
      </c>
      <c r="I7988" s="126">
        <f t="shared" si="83"/>
        <v>77.5</v>
      </c>
    </row>
    <row r="7989" spans="2:10" ht="13.5" thickBot="1" x14ac:dyDescent="0.3">
      <c r="C7989" s="132"/>
      <c r="D7989" s="133"/>
      <c r="E7989" s="134"/>
      <c r="F7989" s="134"/>
      <c r="G7989" s="135" t="s">
        <v>386</v>
      </c>
      <c r="H7989" s="136"/>
      <c r="I7989" s="137">
        <f>SUM(I7981:I7988)</f>
        <v>227437.5</v>
      </c>
    </row>
    <row r="7990" spans="2:10" ht="13.5" thickBot="1" x14ac:dyDescent="0.3">
      <c r="C7990" s="116" t="s">
        <v>387</v>
      </c>
      <c r="D7990" s="117" t="s">
        <v>388</v>
      </c>
      <c r="E7990" s="118"/>
      <c r="F7990" s="118"/>
      <c r="G7990" s="165"/>
      <c r="H7990" s="144">
        <f>IF(AND(D7990&lt;&gt;"",F7990&lt;&gt;""),IF(C7990="",IF(F7990="OH",VLOOKUP(D7990,[1]UPAH!$B$3:$G$32,7,0),VLOOKUP(D7990,[1]BAHAN!$A$2:$D$3,4,0)),0),0)</f>
        <v>0</v>
      </c>
      <c r="I7990" s="126">
        <f>G7990*H7990</f>
        <v>0</v>
      </c>
    </row>
    <row r="7991" spans="2:10" ht="13.5" thickBot="1" x14ac:dyDescent="0.3">
      <c r="C7991" s="132"/>
      <c r="D7991" s="133"/>
      <c r="E7991" s="134"/>
      <c r="F7991" s="134"/>
      <c r="G7991" s="135" t="s">
        <v>389</v>
      </c>
      <c r="H7991" s="136"/>
      <c r="I7991" s="137">
        <f>I7990</f>
        <v>0</v>
      </c>
    </row>
    <row r="7992" spans="2:10" x14ac:dyDescent="0.25">
      <c r="C7992" s="158" t="s">
        <v>390</v>
      </c>
      <c r="D7992" s="159" t="s">
        <v>391</v>
      </c>
      <c r="E7992" s="160"/>
      <c r="F7992" s="160"/>
      <c r="G7992" s="161"/>
      <c r="H7992" s="162">
        <f>IF(AND(D7992&lt;&gt;"",F7992&lt;&gt;""),IF(C7992="",IF(F7992="OH",VLOOKUP(D7992,[1]UPAH!$B$3:$G$32,7,0),VLOOKUP(D7992,[1]BAHAN!$A$2:$D$3,4,0)),0),0)</f>
        <v>0</v>
      </c>
      <c r="I7992" s="126">
        <f>SUM(I7975:I7991)/2</f>
        <v>278737.5</v>
      </c>
    </row>
    <row r="7993" spans="2:10" ht="13.5" thickBot="1" x14ac:dyDescent="0.3">
      <c r="C7993" s="147" t="s">
        <v>392</v>
      </c>
      <c r="D7993" s="148" t="s">
        <v>393</v>
      </c>
      <c r="E7993" s="149"/>
      <c r="F7993" s="149"/>
      <c r="G7993" s="164">
        <v>0.1</v>
      </c>
      <c r="H7993" s="151"/>
      <c r="I7993" s="146">
        <f>G7993*I7992</f>
        <v>27873.75</v>
      </c>
    </row>
    <row r="7994" spans="2:10" ht="13.5" thickBot="1" x14ac:dyDescent="0.3">
      <c r="C7994" s="111" t="s">
        <v>394</v>
      </c>
      <c r="D7994" s="112" t="s">
        <v>395</v>
      </c>
      <c r="E7994" s="134"/>
      <c r="F7994" s="134"/>
      <c r="G7994" s="156"/>
      <c r="H7994" s="136">
        <f>IF(AND(D7994&lt;&gt;"",F7994&lt;&gt;""),IF(C7994="",IF(F7994="OH",VLOOKUP(D7994,[1]UPAH!$B$3:$G$32,7,0),VLOOKUP(D7994,[1]BAHAN!$A$2:$D$3,4,0)),0),0)</f>
        <v>0</v>
      </c>
      <c r="I7994" s="137">
        <f>ROUNDDOWN(I7992+I7993,0)</f>
        <v>306611</v>
      </c>
    </row>
    <row r="7995" spans="2:10" x14ac:dyDescent="0.25">
      <c r="C7995" s="109"/>
      <c r="D7995" s="109"/>
      <c r="G7995" s="157"/>
      <c r="H7995" s="166"/>
      <c r="I7995" s="110"/>
    </row>
    <row r="7996" spans="2:10" ht="13.5" thickBot="1" x14ac:dyDescent="0.3">
      <c r="B7996" s="247" t="s">
        <v>1911</v>
      </c>
      <c r="C7996" s="104" t="s">
        <v>1932</v>
      </c>
      <c r="G7996" s="157"/>
      <c r="J7996" s="173">
        <f>I8012</f>
        <v>84535</v>
      </c>
    </row>
    <row r="7997" spans="2:10" ht="13.5" thickBot="1" x14ac:dyDescent="0.3">
      <c r="C7997" s="111" t="s">
        <v>328</v>
      </c>
      <c r="D7997" s="112" t="s">
        <v>359</v>
      </c>
      <c r="E7997" s="113" t="s">
        <v>360</v>
      </c>
      <c r="F7997" s="113" t="s">
        <v>330</v>
      </c>
      <c r="G7997" s="114" t="s">
        <v>361</v>
      </c>
      <c r="H7997" s="112" t="s">
        <v>362</v>
      </c>
      <c r="I7997" s="115" t="s">
        <v>363</v>
      </c>
    </row>
    <row r="7998" spans="2:10" x14ac:dyDescent="0.25">
      <c r="C7998" s="116" t="s">
        <v>364</v>
      </c>
      <c r="D7998" s="117" t="s">
        <v>365</v>
      </c>
      <c r="E7998" s="118"/>
      <c r="F7998" s="118"/>
      <c r="G7998" s="165"/>
      <c r="H7998" s="144"/>
      <c r="I7998" s="126"/>
    </row>
    <row r="7999" spans="2:10" x14ac:dyDescent="0.25">
      <c r="C7999" s="122"/>
      <c r="D7999" s="376" t="s">
        <v>366</v>
      </c>
      <c r="E7999" s="123" t="s">
        <v>367</v>
      </c>
      <c r="F7999" s="123" t="s">
        <v>368</v>
      </c>
      <c r="G7999" s="377">
        <v>0.2</v>
      </c>
      <c r="H7999" s="243">
        <f>VLOOKUP(D7999,Upah,8,FALSE)</f>
        <v>125000</v>
      </c>
      <c r="I7999" s="126">
        <f>G7999*H7999</f>
        <v>25000</v>
      </c>
    </row>
    <row r="8000" spans="2:10" x14ac:dyDescent="0.25">
      <c r="C8000" s="122"/>
      <c r="D8000" s="384" t="s">
        <v>455</v>
      </c>
      <c r="E8000" s="123" t="s">
        <v>414</v>
      </c>
      <c r="F8000" s="123" t="s">
        <v>368</v>
      </c>
      <c r="G8000" s="377">
        <v>0.1</v>
      </c>
      <c r="H8000" s="243">
        <f>VLOOKUP(D8000,Upah,8,FALSE)</f>
        <v>150000</v>
      </c>
      <c r="I8000" s="126">
        <f>G8000*H8000</f>
        <v>15000</v>
      </c>
    </row>
    <row r="8001" spans="2:10" x14ac:dyDescent="0.25">
      <c r="C8001" s="122"/>
      <c r="D8001" s="376" t="s">
        <v>429</v>
      </c>
      <c r="E8001" s="123" t="s">
        <v>372</v>
      </c>
      <c r="F8001" s="123" t="s">
        <v>368</v>
      </c>
      <c r="G8001" s="377">
        <v>0.01</v>
      </c>
      <c r="H8001" s="243">
        <f>VLOOKUP(D8001,Upah,8,FALSE)</f>
        <v>165000</v>
      </c>
      <c r="I8001" s="126">
        <f>G8001*H8001</f>
        <v>1650</v>
      </c>
    </row>
    <row r="8002" spans="2:10" ht="13.5" thickBot="1" x14ac:dyDescent="0.3">
      <c r="C8002" s="122"/>
      <c r="D8002" s="384" t="s">
        <v>373</v>
      </c>
      <c r="E8002" s="123" t="s">
        <v>374</v>
      </c>
      <c r="F8002" s="123" t="s">
        <v>368</v>
      </c>
      <c r="G8002" s="377">
        <v>0.01</v>
      </c>
      <c r="H8002" s="243">
        <f>VLOOKUP(D8002,Upah,8,FALSE)</f>
        <v>170000</v>
      </c>
      <c r="I8002" s="126">
        <f>G8002*H8002</f>
        <v>1700</v>
      </c>
    </row>
    <row r="8003" spans="2:10" ht="13.5" thickBot="1" x14ac:dyDescent="0.3">
      <c r="C8003" s="132"/>
      <c r="D8003" s="133"/>
      <c r="E8003" s="134"/>
      <c r="F8003" s="134"/>
      <c r="G8003" s="135" t="s">
        <v>375</v>
      </c>
      <c r="H8003" s="136"/>
      <c r="I8003" s="137">
        <f>SUM(I7999:I8002)</f>
        <v>43350</v>
      </c>
    </row>
    <row r="8004" spans="2:10" x14ac:dyDescent="0.25">
      <c r="C8004" s="116" t="s">
        <v>376</v>
      </c>
      <c r="D8004" s="117" t="s">
        <v>377</v>
      </c>
      <c r="E8004" s="118"/>
      <c r="F8004" s="118"/>
      <c r="G8004" s="165"/>
      <c r="H8004" s="144"/>
      <c r="I8004" s="126"/>
    </row>
    <row r="8005" spans="2:10" x14ac:dyDescent="0.25">
      <c r="C8005" s="122"/>
      <c r="D8005" s="117" t="s">
        <v>248</v>
      </c>
      <c r="E8005" s="118"/>
      <c r="F8005" s="123" t="s">
        <v>130</v>
      </c>
      <c r="G8005" s="385">
        <v>1</v>
      </c>
      <c r="H8005" s="144">
        <f t="shared" ref="H8005" si="84">VLOOKUP(D8005,Bahan,6,FALSE)</f>
        <v>33500</v>
      </c>
      <c r="I8005" s="126">
        <f t="shared" ref="I8005" si="85">G8005*H8005</f>
        <v>33500</v>
      </c>
    </row>
    <row r="8006" spans="2:10" ht="13.5" thickBot="1" x14ac:dyDescent="0.3">
      <c r="C8006" s="122"/>
      <c r="D8006" s="117"/>
      <c r="E8006" s="118"/>
      <c r="F8006" s="123"/>
      <c r="G8006" s="385"/>
      <c r="H8006" s="144"/>
      <c r="I8006" s="126"/>
    </row>
    <row r="8007" spans="2:10" ht="13.5" thickBot="1" x14ac:dyDescent="0.3">
      <c r="C8007" s="132"/>
      <c r="D8007" s="133"/>
      <c r="E8007" s="134"/>
      <c r="F8007" s="134"/>
      <c r="G8007" s="135" t="s">
        <v>386</v>
      </c>
      <c r="H8007" s="136"/>
      <c r="I8007" s="137">
        <f>SUM(I8005:I8006)</f>
        <v>33500</v>
      </c>
    </row>
    <row r="8008" spans="2:10" ht="13.5" thickBot="1" x14ac:dyDescent="0.3">
      <c r="C8008" s="116" t="s">
        <v>387</v>
      </c>
      <c r="D8008" s="117" t="s">
        <v>388</v>
      </c>
      <c r="E8008" s="118"/>
      <c r="F8008" s="118"/>
      <c r="G8008" s="165"/>
      <c r="H8008" s="144">
        <f>IF(AND(D8008&lt;&gt;"",F8008&lt;&gt;""),IF(C8008="",IF(F8008="OH",VLOOKUP(D8008,[1]UPAH!$B$3:$G$32,7,0),VLOOKUP(D8008,[1]BAHAN!$A$2:$D$3,4,0)),0),0)</f>
        <v>0</v>
      </c>
      <c r="I8008" s="126">
        <f>G8008*H8008</f>
        <v>0</v>
      </c>
    </row>
    <row r="8009" spans="2:10" ht="13.5" thickBot="1" x14ac:dyDescent="0.3">
      <c r="C8009" s="132"/>
      <c r="D8009" s="133"/>
      <c r="E8009" s="134"/>
      <c r="F8009" s="134"/>
      <c r="G8009" s="135" t="s">
        <v>389</v>
      </c>
      <c r="H8009" s="136"/>
      <c r="I8009" s="137">
        <f>I8008</f>
        <v>0</v>
      </c>
    </row>
    <row r="8010" spans="2:10" x14ac:dyDescent="0.25">
      <c r="C8010" s="158" t="s">
        <v>390</v>
      </c>
      <c r="D8010" s="159" t="s">
        <v>391</v>
      </c>
      <c r="E8010" s="160"/>
      <c r="F8010" s="160"/>
      <c r="G8010" s="161"/>
      <c r="H8010" s="162">
        <f>IF(AND(D8010&lt;&gt;"",F8010&lt;&gt;""),IF(C8010="",IF(F8010="OH",VLOOKUP(D8010,[1]UPAH!$B$3:$G$32,7,0),VLOOKUP(D8010,[1]BAHAN!$A$2:$D$3,4,0)),0),0)</f>
        <v>0</v>
      </c>
      <c r="I8010" s="126">
        <f>SUM(I7999:I8009)/2</f>
        <v>76850</v>
      </c>
    </row>
    <row r="8011" spans="2:10" ht="13.5" thickBot="1" x14ac:dyDescent="0.3">
      <c r="C8011" s="147" t="s">
        <v>392</v>
      </c>
      <c r="D8011" s="148" t="s">
        <v>393</v>
      </c>
      <c r="E8011" s="149"/>
      <c r="F8011" s="149"/>
      <c r="G8011" s="164">
        <v>0.1</v>
      </c>
      <c r="H8011" s="151"/>
      <c r="I8011" s="146">
        <f>G8011*I8010</f>
        <v>7685</v>
      </c>
    </row>
    <row r="8012" spans="2:10" ht="13.5" thickBot="1" x14ac:dyDescent="0.3">
      <c r="C8012" s="111" t="s">
        <v>394</v>
      </c>
      <c r="D8012" s="112" t="s">
        <v>395</v>
      </c>
      <c r="E8012" s="134"/>
      <c r="F8012" s="134"/>
      <c r="G8012" s="156"/>
      <c r="H8012" s="136">
        <f>IF(AND(D8012&lt;&gt;"",F8012&lt;&gt;""),IF(C8012="",IF(F8012="OH",VLOOKUP(D8012,[1]UPAH!$B$3:$G$32,7,0),VLOOKUP(D8012,[1]BAHAN!$A$2:$D$3,4,0)),0),0)</f>
        <v>0</v>
      </c>
      <c r="I8012" s="137">
        <f>ROUNDDOWN(I8010+I8011,0)</f>
        <v>84535</v>
      </c>
    </row>
    <row r="8014" spans="2:10" ht="13.5" thickBot="1" x14ac:dyDescent="0.3">
      <c r="B8014" s="247" t="s">
        <v>1913</v>
      </c>
      <c r="C8014" s="104" t="s">
        <v>1933</v>
      </c>
      <c r="G8014" s="157"/>
      <c r="J8014" s="173">
        <f>I8030</f>
        <v>77935</v>
      </c>
    </row>
    <row r="8015" spans="2:10" ht="13.5" thickBot="1" x14ac:dyDescent="0.3">
      <c r="C8015" s="111" t="s">
        <v>328</v>
      </c>
      <c r="D8015" s="112" t="s">
        <v>359</v>
      </c>
      <c r="E8015" s="113" t="s">
        <v>360</v>
      </c>
      <c r="F8015" s="113" t="s">
        <v>330</v>
      </c>
      <c r="G8015" s="114" t="s">
        <v>361</v>
      </c>
      <c r="H8015" s="112" t="s">
        <v>362</v>
      </c>
      <c r="I8015" s="115" t="s">
        <v>363</v>
      </c>
    </row>
    <row r="8016" spans="2:10" x14ac:dyDescent="0.25">
      <c r="C8016" s="116" t="s">
        <v>364</v>
      </c>
      <c r="D8016" s="117" t="s">
        <v>365</v>
      </c>
      <c r="E8016" s="118"/>
      <c r="F8016" s="118"/>
      <c r="G8016" s="165"/>
      <c r="H8016" s="144"/>
      <c r="I8016" s="126"/>
    </row>
    <row r="8017" spans="2:10" x14ac:dyDescent="0.25">
      <c r="C8017" s="122"/>
      <c r="D8017" s="376" t="s">
        <v>366</v>
      </c>
      <c r="E8017" s="123" t="s">
        <v>367</v>
      </c>
      <c r="F8017" s="123" t="s">
        <v>368</v>
      </c>
      <c r="G8017" s="377">
        <v>0.2</v>
      </c>
      <c r="H8017" s="243">
        <f>VLOOKUP(D8017,Upah,8,FALSE)</f>
        <v>125000</v>
      </c>
      <c r="I8017" s="126">
        <f>G8017*H8017</f>
        <v>25000</v>
      </c>
    </row>
    <row r="8018" spans="2:10" x14ac:dyDescent="0.25">
      <c r="C8018" s="122"/>
      <c r="D8018" s="384" t="s">
        <v>455</v>
      </c>
      <c r="E8018" s="123" t="s">
        <v>414</v>
      </c>
      <c r="F8018" s="123" t="s">
        <v>368</v>
      </c>
      <c r="G8018" s="377">
        <v>0.1</v>
      </c>
      <c r="H8018" s="243">
        <f>VLOOKUP(D8018,Upah,8,FALSE)</f>
        <v>150000</v>
      </c>
      <c r="I8018" s="126">
        <f>G8018*H8018</f>
        <v>15000</v>
      </c>
    </row>
    <row r="8019" spans="2:10" x14ac:dyDescent="0.25">
      <c r="C8019" s="122"/>
      <c r="D8019" s="376" t="s">
        <v>429</v>
      </c>
      <c r="E8019" s="123" t="s">
        <v>372</v>
      </c>
      <c r="F8019" s="123" t="s">
        <v>368</v>
      </c>
      <c r="G8019" s="377">
        <v>0.01</v>
      </c>
      <c r="H8019" s="243">
        <f>VLOOKUP(D8019,Upah,8,FALSE)</f>
        <v>165000</v>
      </c>
      <c r="I8019" s="126">
        <f>G8019*H8019</f>
        <v>1650</v>
      </c>
    </row>
    <row r="8020" spans="2:10" ht="13.5" thickBot="1" x14ac:dyDescent="0.3">
      <c r="C8020" s="122"/>
      <c r="D8020" s="384" t="s">
        <v>373</v>
      </c>
      <c r="E8020" s="123" t="s">
        <v>374</v>
      </c>
      <c r="F8020" s="123" t="s">
        <v>368</v>
      </c>
      <c r="G8020" s="377">
        <v>0.01</v>
      </c>
      <c r="H8020" s="243">
        <f>VLOOKUP(D8020,Upah,8,FALSE)</f>
        <v>170000</v>
      </c>
      <c r="I8020" s="126">
        <f>G8020*H8020</f>
        <v>1700</v>
      </c>
    </row>
    <row r="8021" spans="2:10" ht="13.5" thickBot="1" x14ac:dyDescent="0.3">
      <c r="C8021" s="132"/>
      <c r="D8021" s="133"/>
      <c r="E8021" s="134"/>
      <c r="F8021" s="134"/>
      <c r="G8021" s="135" t="s">
        <v>375</v>
      </c>
      <c r="H8021" s="136"/>
      <c r="I8021" s="137">
        <f>SUM(I8017:I8020)</f>
        <v>43350</v>
      </c>
    </row>
    <row r="8022" spans="2:10" x14ac:dyDescent="0.25">
      <c r="C8022" s="116" t="s">
        <v>376</v>
      </c>
      <c r="D8022" s="117" t="s">
        <v>377</v>
      </c>
      <c r="E8022" s="118"/>
      <c r="F8022" s="118"/>
      <c r="G8022" s="165"/>
      <c r="H8022" s="144"/>
      <c r="I8022" s="126"/>
    </row>
    <row r="8023" spans="2:10" x14ac:dyDescent="0.25">
      <c r="C8023" s="122"/>
      <c r="D8023" s="117" t="s">
        <v>1914</v>
      </c>
      <c r="E8023" s="118"/>
      <c r="F8023" s="123" t="s">
        <v>130</v>
      </c>
      <c r="G8023" s="385">
        <v>1</v>
      </c>
      <c r="H8023" s="144">
        <f t="shared" ref="H8023" si="86">VLOOKUP(D8023,Bahan,6,FALSE)</f>
        <v>27500</v>
      </c>
      <c r="I8023" s="126">
        <f t="shared" ref="I8023" si="87">G8023*H8023</f>
        <v>27500</v>
      </c>
    </row>
    <row r="8024" spans="2:10" ht="13.5" thickBot="1" x14ac:dyDescent="0.3">
      <c r="C8024" s="122"/>
      <c r="D8024" s="117"/>
      <c r="E8024" s="118"/>
      <c r="F8024" s="123"/>
      <c r="G8024" s="385"/>
      <c r="H8024" s="144"/>
      <c r="I8024" s="126"/>
    </row>
    <row r="8025" spans="2:10" ht="13.5" thickBot="1" x14ac:dyDescent="0.3">
      <c r="C8025" s="132"/>
      <c r="D8025" s="133"/>
      <c r="E8025" s="134"/>
      <c r="F8025" s="134"/>
      <c r="G8025" s="135" t="s">
        <v>386</v>
      </c>
      <c r="H8025" s="136"/>
      <c r="I8025" s="137">
        <f>SUM(I8023:I8024)</f>
        <v>27500</v>
      </c>
    </row>
    <row r="8026" spans="2:10" ht="13.5" thickBot="1" x14ac:dyDescent="0.3">
      <c r="C8026" s="116" t="s">
        <v>387</v>
      </c>
      <c r="D8026" s="117" t="s">
        <v>388</v>
      </c>
      <c r="E8026" s="118"/>
      <c r="F8026" s="118"/>
      <c r="G8026" s="165"/>
      <c r="H8026" s="144">
        <f>IF(AND(D8026&lt;&gt;"",F8026&lt;&gt;""),IF(C8026="",IF(F8026="OH",VLOOKUP(D8026,[1]UPAH!$B$3:$G$32,7,0),VLOOKUP(D8026,[1]BAHAN!$A$2:$D$3,4,0)),0),0)</f>
        <v>0</v>
      </c>
      <c r="I8026" s="126">
        <f>G8026*H8026</f>
        <v>0</v>
      </c>
    </row>
    <row r="8027" spans="2:10" ht="13.5" thickBot="1" x14ac:dyDescent="0.3">
      <c r="C8027" s="132"/>
      <c r="D8027" s="133"/>
      <c r="E8027" s="134"/>
      <c r="F8027" s="134"/>
      <c r="G8027" s="135" t="s">
        <v>389</v>
      </c>
      <c r="H8027" s="136"/>
      <c r="I8027" s="137">
        <f>I8026</f>
        <v>0</v>
      </c>
    </row>
    <row r="8028" spans="2:10" x14ac:dyDescent="0.25">
      <c r="C8028" s="158" t="s">
        <v>390</v>
      </c>
      <c r="D8028" s="159" t="s">
        <v>391</v>
      </c>
      <c r="E8028" s="160"/>
      <c r="F8028" s="160"/>
      <c r="G8028" s="161"/>
      <c r="H8028" s="162">
        <f>IF(AND(D8028&lt;&gt;"",F8028&lt;&gt;""),IF(C8028="",IF(F8028="OH",VLOOKUP(D8028,[1]UPAH!$B$3:$G$32,7,0),VLOOKUP(D8028,[1]BAHAN!$A$2:$D$3,4,0)),0),0)</f>
        <v>0</v>
      </c>
      <c r="I8028" s="126">
        <f>SUM(I8017:I8027)/2</f>
        <v>70850</v>
      </c>
    </row>
    <row r="8029" spans="2:10" ht="13.5" thickBot="1" x14ac:dyDescent="0.3">
      <c r="C8029" s="147" t="s">
        <v>392</v>
      </c>
      <c r="D8029" s="148" t="s">
        <v>393</v>
      </c>
      <c r="E8029" s="149"/>
      <c r="F8029" s="149"/>
      <c r="G8029" s="164">
        <v>0.1</v>
      </c>
      <c r="H8029" s="151"/>
      <c r="I8029" s="146">
        <f>G8029*I8028</f>
        <v>7085</v>
      </c>
    </row>
    <row r="8030" spans="2:10" ht="13.5" thickBot="1" x14ac:dyDescent="0.3">
      <c r="C8030" s="111" t="s">
        <v>394</v>
      </c>
      <c r="D8030" s="112" t="s">
        <v>395</v>
      </c>
      <c r="E8030" s="134"/>
      <c r="F8030" s="134"/>
      <c r="G8030" s="156"/>
      <c r="H8030" s="136">
        <f>IF(AND(D8030&lt;&gt;"",F8030&lt;&gt;""),IF(C8030="",IF(F8030="OH",VLOOKUP(D8030,[1]UPAH!$B$3:$G$32,7,0),VLOOKUP(D8030,[1]BAHAN!$A$2:$D$3,4,0)),0),0)</f>
        <v>0</v>
      </c>
      <c r="I8030" s="137">
        <f>ROUNDDOWN(I8028+I8029,0)</f>
        <v>77935</v>
      </c>
    </row>
    <row r="8032" spans="2:10" ht="13.5" thickBot="1" x14ac:dyDescent="0.3">
      <c r="B8032" s="247" t="s">
        <v>1915</v>
      </c>
      <c r="C8032" s="104" t="s">
        <v>1934</v>
      </c>
      <c r="G8032" s="157"/>
      <c r="J8032" s="173">
        <f>I8048</f>
        <v>70697</v>
      </c>
    </row>
    <row r="8033" spans="3:9" ht="13.5" thickBot="1" x14ac:dyDescent="0.3">
      <c r="C8033" s="111" t="s">
        <v>328</v>
      </c>
      <c r="D8033" s="112" t="s">
        <v>359</v>
      </c>
      <c r="E8033" s="113" t="s">
        <v>360</v>
      </c>
      <c r="F8033" s="113" t="s">
        <v>330</v>
      </c>
      <c r="G8033" s="114" t="s">
        <v>361</v>
      </c>
      <c r="H8033" s="112" t="s">
        <v>362</v>
      </c>
      <c r="I8033" s="115" t="s">
        <v>363</v>
      </c>
    </row>
    <row r="8034" spans="3:9" x14ac:dyDescent="0.25">
      <c r="C8034" s="116" t="s">
        <v>364</v>
      </c>
      <c r="D8034" s="117" t="s">
        <v>365</v>
      </c>
      <c r="E8034" s="118"/>
      <c r="F8034" s="118"/>
      <c r="G8034" s="165"/>
      <c r="H8034" s="144"/>
      <c r="I8034" s="126"/>
    </row>
    <row r="8035" spans="3:9" x14ac:dyDescent="0.25">
      <c r="C8035" s="122"/>
      <c r="D8035" s="376" t="s">
        <v>366</v>
      </c>
      <c r="E8035" s="123" t="s">
        <v>367</v>
      </c>
      <c r="F8035" s="123" t="s">
        <v>368</v>
      </c>
      <c r="G8035" s="377">
        <v>1.4999999999999999E-2</v>
      </c>
      <c r="H8035" s="243">
        <f>VLOOKUP(D8035,Upah,8,FALSE)</f>
        <v>125000</v>
      </c>
      <c r="I8035" s="126">
        <f>G8035*H8035</f>
        <v>1875</v>
      </c>
    </row>
    <row r="8036" spans="3:9" x14ac:dyDescent="0.25">
      <c r="C8036" s="122"/>
      <c r="D8036" s="384" t="s">
        <v>455</v>
      </c>
      <c r="E8036" s="123" t="s">
        <v>414</v>
      </c>
      <c r="F8036" s="123" t="s">
        <v>368</v>
      </c>
      <c r="G8036" s="377">
        <v>0.15</v>
      </c>
      <c r="H8036" s="243">
        <f>VLOOKUP(D8036,Upah,8,FALSE)</f>
        <v>150000</v>
      </c>
      <c r="I8036" s="126">
        <f>G8036*H8036</f>
        <v>22500</v>
      </c>
    </row>
    <row r="8037" spans="3:9" x14ac:dyDescent="0.25">
      <c r="C8037" s="122"/>
      <c r="D8037" s="376" t="s">
        <v>429</v>
      </c>
      <c r="E8037" s="123" t="s">
        <v>372</v>
      </c>
      <c r="F8037" s="123" t="s">
        <v>368</v>
      </c>
      <c r="G8037" s="377">
        <v>1.4999999999999999E-2</v>
      </c>
      <c r="H8037" s="243">
        <f>VLOOKUP(D8037,Upah,8,FALSE)</f>
        <v>165000</v>
      </c>
      <c r="I8037" s="126">
        <f>G8037*H8037</f>
        <v>2475</v>
      </c>
    </row>
    <row r="8038" spans="3:9" ht="13.5" thickBot="1" x14ac:dyDescent="0.3">
      <c r="C8038" s="122"/>
      <c r="D8038" s="384" t="s">
        <v>373</v>
      </c>
      <c r="E8038" s="123" t="s">
        <v>374</v>
      </c>
      <c r="F8038" s="123" t="s">
        <v>368</v>
      </c>
      <c r="G8038" s="377">
        <v>1E-3</v>
      </c>
      <c r="H8038" s="243">
        <f>VLOOKUP(D8038,Upah,8,FALSE)</f>
        <v>170000</v>
      </c>
      <c r="I8038" s="126">
        <f>G8038*H8038</f>
        <v>170</v>
      </c>
    </row>
    <row r="8039" spans="3:9" ht="13.5" thickBot="1" x14ac:dyDescent="0.3">
      <c r="C8039" s="132"/>
      <c r="D8039" s="133"/>
      <c r="E8039" s="134"/>
      <c r="F8039" s="134"/>
      <c r="G8039" s="135" t="s">
        <v>375</v>
      </c>
      <c r="H8039" s="136"/>
      <c r="I8039" s="137">
        <f>SUM(I8035:I8038)</f>
        <v>27020</v>
      </c>
    </row>
    <row r="8040" spans="3:9" x14ac:dyDescent="0.25">
      <c r="C8040" s="116" t="s">
        <v>376</v>
      </c>
      <c r="D8040" s="117" t="s">
        <v>377</v>
      </c>
      <c r="E8040" s="118"/>
      <c r="F8040" s="118"/>
      <c r="G8040" s="165"/>
      <c r="H8040" s="144"/>
      <c r="I8040" s="126"/>
    </row>
    <row r="8041" spans="3:9" x14ac:dyDescent="0.25">
      <c r="C8041" s="122"/>
      <c r="D8041" s="117" t="s">
        <v>1916</v>
      </c>
      <c r="E8041" s="118"/>
      <c r="F8041" s="123" t="s">
        <v>130</v>
      </c>
      <c r="G8041" s="385">
        <v>1</v>
      </c>
      <c r="H8041" s="144">
        <f t="shared" ref="H8041" si="88">VLOOKUP(D8041,Bahan,6,FALSE)</f>
        <v>37250</v>
      </c>
      <c r="I8041" s="126">
        <f t="shared" ref="I8041" si="89">G8041*H8041</f>
        <v>37250</v>
      </c>
    </row>
    <row r="8042" spans="3:9" ht="13.5" thickBot="1" x14ac:dyDescent="0.3">
      <c r="C8042" s="122"/>
      <c r="D8042" s="117"/>
      <c r="E8042" s="118"/>
      <c r="F8042" s="123"/>
      <c r="G8042" s="385"/>
      <c r="H8042" s="144"/>
      <c r="I8042" s="126"/>
    </row>
    <row r="8043" spans="3:9" ht="13.5" thickBot="1" x14ac:dyDescent="0.3">
      <c r="C8043" s="132"/>
      <c r="D8043" s="133"/>
      <c r="E8043" s="134"/>
      <c r="F8043" s="134"/>
      <c r="G8043" s="135" t="s">
        <v>386</v>
      </c>
      <c r="H8043" s="136"/>
      <c r="I8043" s="137">
        <f>SUM(I8041:I8042)</f>
        <v>37250</v>
      </c>
    </row>
    <row r="8044" spans="3:9" ht="13.5" thickBot="1" x14ac:dyDescent="0.3">
      <c r="C8044" s="116" t="s">
        <v>387</v>
      </c>
      <c r="D8044" s="117" t="s">
        <v>388</v>
      </c>
      <c r="E8044" s="118"/>
      <c r="F8044" s="118"/>
      <c r="G8044" s="165"/>
      <c r="H8044" s="144">
        <f>IF(AND(D8044&lt;&gt;"",F8044&lt;&gt;""),IF(C8044="",IF(F8044="OH",VLOOKUP(D8044,[1]UPAH!$B$3:$G$32,7,0),VLOOKUP(D8044,[1]BAHAN!$A$2:$D$3,4,0)),0),0)</f>
        <v>0</v>
      </c>
      <c r="I8044" s="126">
        <f>G8044*H8044</f>
        <v>0</v>
      </c>
    </row>
    <row r="8045" spans="3:9" ht="13.5" thickBot="1" x14ac:dyDescent="0.3">
      <c r="C8045" s="132"/>
      <c r="D8045" s="133"/>
      <c r="E8045" s="134"/>
      <c r="F8045" s="134"/>
      <c r="G8045" s="135" t="s">
        <v>389</v>
      </c>
      <c r="H8045" s="136"/>
      <c r="I8045" s="137">
        <f>I8044</f>
        <v>0</v>
      </c>
    </row>
    <row r="8046" spans="3:9" x14ac:dyDescent="0.25">
      <c r="C8046" s="158" t="s">
        <v>390</v>
      </c>
      <c r="D8046" s="159" t="s">
        <v>391</v>
      </c>
      <c r="E8046" s="160"/>
      <c r="F8046" s="160"/>
      <c r="G8046" s="161"/>
      <c r="H8046" s="162">
        <f>IF(AND(D8046&lt;&gt;"",F8046&lt;&gt;""),IF(C8046="",IF(F8046="OH",VLOOKUP(D8046,[1]UPAH!$B$3:$G$32,7,0),VLOOKUP(D8046,[1]BAHAN!$A$2:$D$3,4,0)),0),0)</f>
        <v>0</v>
      </c>
      <c r="I8046" s="126">
        <f>SUM(I8035:I8045)/2</f>
        <v>64270</v>
      </c>
    </row>
    <row r="8047" spans="3:9" ht="13.5" thickBot="1" x14ac:dyDescent="0.3">
      <c r="C8047" s="147" t="s">
        <v>392</v>
      </c>
      <c r="D8047" s="148" t="s">
        <v>393</v>
      </c>
      <c r="E8047" s="149"/>
      <c r="F8047" s="149"/>
      <c r="G8047" s="164">
        <v>0.1</v>
      </c>
      <c r="H8047" s="151"/>
      <c r="I8047" s="146">
        <f>G8047*I8046</f>
        <v>6427</v>
      </c>
    </row>
    <row r="8048" spans="3:9" ht="13.5" thickBot="1" x14ac:dyDescent="0.3">
      <c r="C8048" s="111" t="s">
        <v>394</v>
      </c>
      <c r="D8048" s="112" t="s">
        <v>395</v>
      </c>
      <c r="E8048" s="134"/>
      <c r="F8048" s="134"/>
      <c r="G8048" s="156"/>
      <c r="H8048" s="136">
        <f>IF(AND(D8048&lt;&gt;"",F8048&lt;&gt;""),IF(C8048="",IF(F8048="OH",VLOOKUP(D8048,[1]UPAH!$B$3:$G$32,7,0),VLOOKUP(D8048,[1]BAHAN!$A$2:$D$3,4,0)),0),0)</f>
        <v>0</v>
      </c>
      <c r="I8048" s="137">
        <f>ROUNDDOWN(I8046+I8047,0)</f>
        <v>70697</v>
      </c>
    </row>
    <row r="8050" spans="2:10" ht="13.5" thickBot="1" x14ac:dyDescent="0.3">
      <c r="B8050" s="247" t="s">
        <v>1917</v>
      </c>
      <c r="C8050" s="104" t="s">
        <v>1935</v>
      </c>
      <c r="G8050" s="157"/>
      <c r="J8050" s="173">
        <f>I8065</f>
        <v>496870</v>
      </c>
    </row>
    <row r="8051" spans="2:10" ht="13.5" thickBot="1" x14ac:dyDescent="0.3">
      <c r="C8051" s="111" t="s">
        <v>328</v>
      </c>
      <c r="D8051" s="112" t="s">
        <v>359</v>
      </c>
      <c r="E8051" s="113" t="s">
        <v>360</v>
      </c>
      <c r="F8051" s="113" t="s">
        <v>330</v>
      </c>
      <c r="G8051" s="114" t="s">
        <v>361</v>
      </c>
      <c r="H8051" s="112" t="s">
        <v>362</v>
      </c>
      <c r="I8051" s="115" t="s">
        <v>363</v>
      </c>
    </row>
    <row r="8052" spans="2:10" x14ac:dyDescent="0.25">
      <c r="C8052" s="116" t="s">
        <v>364</v>
      </c>
      <c r="D8052" s="117" t="s">
        <v>365</v>
      </c>
      <c r="E8052" s="118"/>
      <c r="F8052" s="118"/>
      <c r="G8052" s="165"/>
      <c r="H8052" s="144"/>
      <c r="I8052" s="126"/>
    </row>
    <row r="8053" spans="2:10" x14ac:dyDescent="0.25">
      <c r="C8053" s="122"/>
      <c r="D8053" s="376" t="s">
        <v>366</v>
      </c>
      <c r="E8053" s="123" t="s">
        <v>367</v>
      </c>
      <c r="F8053" s="123" t="s">
        <v>368</v>
      </c>
      <c r="G8053" s="377">
        <v>1</v>
      </c>
      <c r="H8053" s="243">
        <f>VLOOKUP(D8053,Upah,8,FALSE)</f>
        <v>125000</v>
      </c>
      <c r="I8053" s="126">
        <f>G8053*H8053</f>
        <v>125000</v>
      </c>
    </row>
    <row r="8054" spans="2:10" x14ac:dyDescent="0.25">
      <c r="C8054" s="122"/>
      <c r="D8054" s="384" t="s">
        <v>455</v>
      </c>
      <c r="E8054" s="123" t="s">
        <v>414</v>
      </c>
      <c r="F8054" s="123" t="s">
        <v>368</v>
      </c>
      <c r="G8054" s="377">
        <v>0.5</v>
      </c>
      <c r="H8054" s="243">
        <f>VLOOKUP(D8054,Upah,8,FALSE)</f>
        <v>150000</v>
      </c>
      <c r="I8054" s="126">
        <f>G8054*H8054</f>
        <v>75000</v>
      </c>
    </row>
    <row r="8055" spans="2:10" ht="13.5" thickBot="1" x14ac:dyDescent="0.3">
      <c r="C8055" s="122"/>
      <c r="D8055" s="384" t="s">
        <v>373</v>
      </c>
      <c r="E8055" s="123" t="s">
        <v>374</v>
      </c>
      <c r="F8055" s="123" t="s">
        <v>368</v>
      </c>
      <c r="G8055" s="377">
        <v>0.01</v>
      </c>
      <c r="H8055" s="243">
        <f>VLOOKUP(D8055,Upah,8,FALSE)</f>
        <v>170000</v>
      </c>
      <c r="I8055" s="126">
        <f>G8055*H8055</f>
        <v>1700</v>
      </c>
    </row>
    <row r="8056" spans="2:10" ht="13.5" thickBot="1" x14ac:dyDescent="0.3">
      <c r="C8056" s="132"/>
      <c r="D8056" s="133"/>
      <c r="E8056" s="134"/>
      <c r="F8056" s="134"/>
      <c r="G8056" s="135" t="s">
        <v>375</v>
      </c>
      <c r="H8056" s="136"/>
      <c r="I8056" s="137">
        <f>SUM(I8053:I8055)</f>
        <v>201700</v>
      </c>
    </row>
    <row r="8057" spans="2:10" x14ac:dyDescent="0.25">
      <c r="C8057" s="116" t="s">
        <v>376</v>
      </c>
      <c r="D8057" s="117" t="s">
        <v>377</v>
      </c>
      <c r="E8057" s="118"/>
      <c r="F8057" s="118"/>
      <c r="G8057" s="165"/>
      <c r="H8057" s="144"/>
      <c r="I8057" s="126"/>
    </row>
    <row r="8058" spans="2:10" x14ac:dyDescent="0.25">
      <c r="C8058" s="122"/>
      <c r="D8058" s="117" t="s">
        <v>251</v>
      </c>
      <c r="E8058" s="118"/>
      <c r="F8058" s="123" t="s">
        <v>130</v>
      </c>
      <c r="G8058" s="385">
        <v>1</v>
      </c>
      <c r="H8058" s="144">
        <f t="shared" ref="H8058" si="90">VLOOKUP(D8058,Bahan,6,FALSE)</f>
        <v>250000</v>
      </c>
      <c r="I8058" s="126">
        <f t="shared" ref="I8058" si="91">G8058*H8058</f>
        <v>250000</v>
      </c>
    </row>
    <row r="8059" spans="2:10" ht="13.5" thickBot="1" x14ac:dyDescent="0.3">
      <c r="C8059" s="122"/>
      <c r="D8059" s="117"/>
      <c r="E8059" s="118"/>
      <c r="F8059" s="123"/>
      <c r="G8059" s="385"/>
      <c r="H8059" s="144"/>
      <c r="I8059" s="126"/>
    </row>
    <row r="8060" spans="2:10" ht="13.5" thickBot="1" x14ac:dyDescent="0.3">
      <c r="C8060" s="132"/>
      <c r="D8060" s="133"/>
      <c r="E8060" s="134"/>
      <c r="F8060" s="134"/>
      <c r="G8060" s="135" t="s">
        <v>386</v>
      </c>
      <c r="H8060" s="136"/>
      <c r="I8060" s="137">
        <f>SUM(I8058:I8059)</f>
        <v>250000</v>
      </c>
    </row>
    <row r="8061" spans="2:10" ht="13.5" thickBot="1" x14ac:dyDescent="0.3">
      <c r="C8061" s="116" t="s">
        <v>387</v>
      </c>
      <c r="D8061" s="117" t="s">
        <v>388</v>
      </c>
      <c r="E8061" s="118"/>
      <c r="F8061" s="118"/>
      <c r="G8061" s="165"/>
      <c r="H8061" s="144">
        <f>IF(AND(D8061&lt;&gt;"",F8061&lt;&gt;""),IF(C8061="",IF(F8061="OH",VLOOKUP(D8061,[1]UPAH!$B$3:$G$32,7,0),VLOOKUP(D8061,[1]BAHAN!$A$2:$D$3,4,0)),0),0)</f>
        <v>0</v>
      </c>
      <c r="I8061" s="126">
        <f>G8061*H8061</f>
        <v>0</v>
      </c>
    </row>
    <row r="8062" spans="2:10" ht="13.5" thickBot="1" x14ac:dyDescent="0.3">
      <c r="C8062" s="132"/>
      <c r="D8062" s="133"/>
      <c r="E8062" s="134"/>
      <c r="F8062" s="134"/>
      <c r="G8062" s="135" t="s">
        <v>389</v>
      </c>
      <c r="H8062" s="136"/>
      <c r="I8062" s="137">
        <f>I8061</f>
        <v>0</v>
      </c>
    </row>
    <row r="8063" spans="2:10" x14ac:dyDescent="0.25">
      <c r="C8063" s="158" t="s">
        <v>390</v>
      </c>
      <c r="D8063" s="159" t="s">
        <v>391</v>
      </c>
      <c r="E8063" s="160"/>
      <c r="F8063" s="160"/>
      <c r="G8063" s="161"/>
      <c r="H8063" s="162">
        <f>IF(AND(D8063&lt;&gt;"",F8063&lt;&gt;""),IF(C8063="",IF(F8063="OH",VLOOKUP(D8063,[1]UPAH!$B$3:$G$32,7,0),VLOOKUP(D8063,[1]BAHAN!$A$2:$D$3,4,0)),0),0)</f>
        <v>0</v>
      </c>
      <c r="I8063" s="126">
        <f>SUM(I8053:I8062)/2</f>
        <v>451700</v>
      </c>
    </row>
    <row r="8064" spans="2:10" ht="13.5" thickBot="1" x14ac:dyDescent="0.3">
      <c r="C8064" s="147" t="s">
        <v>392</v>
      </c>
      <c r="D8064" s="148" t="s">
        <v>393</v>
      </c>
      <c r="E8064" s="149"/>
      <c r="F8064" s="149"/>
      <c r="G8064" s="164">
        <v>0.1</v>
      </c>
      <c r="H8064" s="151"/>
      <c r="I8064" s="146">
        <f>G8064*I8063</f>
        <v>45170</v>
      </c>
    </row>
    <row r="8065" spans="3:9" ht="13.5" thickBot="1" x14ac:dyDescent="0.3">
      <c r="C8065" s="111" t="s">
        <v>394</v>
      </c>
      <c r="D8065" s="112" t="s">
        <v>395</v>
      </c>
      <c r="E8065" s="134"/>
      <c r="F8065" s="134"/>
      <c r="G8065" s="156"/>
      <c r="H8065" s="136">
        <f>IF(AND(D8065&lt;&gt;"",F8065&lt;&gt;""),IF(C8065="",IF(F8065="OH",VLOOKUP(D8065,[1]UPAH!$B$3:$G$32,7,0),VLOOKUP(D8065,[1]BAHAN!$A$2:$D$3,4,0)),0),0)</f>
        <v>0</v>
      </c>
      <c r="I8065" s="137">
        <f>ROUNDDOWN(I8063+I8064,0)</f>
        <v>496870</v>
      </c>
    </row>
  </sheetData>
  <protectedRanges>
    <protectedRange password="CF35" sqref="D7975:D7978 C7972 G7975:G7978 G7953 D7953 D7999:D8002 G7999:G8002 D8017:D8020 G8017:G8020 D8035:D8038 G8035:G8038 G8053:G8055 D8053:D8055" name="Range1"/>
  </protectedRanges>
  <mergeCells count="36">
    <mergeCell ref="E1820:F1820"/>
    <mergeCell ref="E1821:F1821"/>
    <mergeCell ref="C2664:I2664"/>
    <mergeCell ref="C2683:I2683"/>
    <mergeCell ref="C2702:I2702"/>
    <mergeCell ref="C2721:I2721"/>
    <mergeCell ref="E1873:F1873"/>
    <mergeCell ref="E1874:F1874"/>
    <mergeCell ref="F1934:G1934"/>
    <mergeCell ref="F1931:G1931"/>
    <mergeCell ref="A1:J1"/>
    <mergeCell ref="A2:J2"/>
    <mergeCell ref="F1950:G1950"/>
    <mergeCell ref="F1941:G1941"/>
    <mergeCell ref="F1942:G1942"/>
    <mergeCell ref="F1943:G1943"/>
    <mergeCell ref="F1932:G1932"/>
    <mergeCell ref="F1933:G1933"/>
    <mergeCell ref="E1926:E1927"/>
    <mergeCell ref="F1926:G1927"/>
    <mergeCell ref="F1928:G1928"/>
    <mergeCell ref="F1929:G1929"/>
    <mergeCell ref="F1930:G1930"/>
    <mergeCell ref="F1938:G1938"/>
    <mergeCell ref="F1951:G1951"/>
    <mergeCell ref="F1944:G1944"/>
    <mergeCell ref="F1945:G1945"/>
    <mergeCell ref="F1946:G1946"/>
    <mergeCell ref="F1947:G1947"/>
    <mergeCell ref="F1948:G1948"/>
    <mergeCell ref="F1949:G1949"/>
    <mergeCell ref="F1939:G1939"/>
    <mergeCell ref="F1940:G1940"/>
    <mergeCell ref="F1935:G1935"/>
    <mergeCell ref="F1936:G1936"/>
    <mergeCell ref="F1937:G1937"/>
  </mergeCells>
  <printOptions horizontalCentered="1"/>
  <pageMargins left="0.2" right="0.2" top="0.5" bottom="0" header="0.3" footer="0.3"/>
  <pageSetup paperSize="9" scale="80" orientation="landscape" horizontalDpi="1200" verticalDpi="1200" r:id="rId1"/>
  <rowBreaks count="218" manualBreakCount="218">
    <brk id="27" max="9" man="1"/>
    <brk id="73" max="9" man="1"/>
    <brk id="181" max="9" man="1"/>
    <brk id="205" max="9" man="1"/>
    <brk id="240" max="9" man="1"/>
    <brk id="272" max="9" man="1"/>
    <brk id="303" max="9" man="1"/>
    <brk id="339" max="9" man="1"/>
    <brk id="367" max="9" man="1"/>
    <brk id="395" max="9" man="1"/>
    <brk id="423" max="9" man="1"/>
    <brk id="452" max="9" man="1"/>
    <brk id="481" max="9" man="1"/>
    <brk id="515" max="9" man="1"/>
    <brk id="550" max="9" man="1"/>
    <brk id="588" max="9" man="1"/>
    <brk id="626" max="9" man="1"/>
    <brk id="666" max="9" man="1"/>
    <brk id="704" max="9" man="1"/>
    <brk id="746" max="9" man="1"/>
    <brk id="787" max="9" man="1"/>
    <brk id="829" max="9" man="1"/>
    <brk id="869" max="9" man="1"/>
    <brk id="909" max="9" man="1"/>
    <brk id="949" max="9" man="1"/>
    <brk id="989" max="9" man="1"/>
    <brk id="1032" max="9" man="1"/>
    <brk id="1066" max="9" man="1"/>
    <brk id="1101" max="9" man="1"/>
    <brk id="1137" max="9" man="1"/>
    <brk id="1175" max="9" man="1"/>
    <brk id="1219" max="9" man="1"/>
    <brk id="1264" max="9" man="1"/>
    <brk id="1305" max="9" man="1"/>
    <brk id="1331" max="9" man="1"/>
    <brk id="1357" max="9" man="1"/>
    <brk id="1386" max="9" man="1"/>
    <brk id="1415" max="9" man="1"/>
    <brk id="1444" max="9" man="1"/>
    <brk id="1473" max="9" man="1"/>
    <brk id="1502" max="9" man="1"/>
    <brk id="1528" max="9" man="1"/>
    <brk id="1554" max="9" man="1"/>
    <brk id="1595" max="9" man="1"/>
    <brk id="1635" max="9" man="1"/>
    <brk id="1677" max="9" man="1"/>
    <brk id="1713" max="9" man="1"/>
    <brk id="1743" max="9" man="1"/>
    <brk id="1777" max="9" man="1"/>
    <brk id="1816" max="9" man="1"/>
    <brk id="1847" max="9" man="1"/>
    <brk id="1869" max="9" man="1"/>
    <brk id="1900" max="9" man="1"/>
    <brk id="1922" max="9" man="1"/>
    <brk id="1952" max="9" man="1"/>
    <brk id="1989" max="9" man="1"/>
    <brk id="2022" max="9" man="1"/>
    <brk id="2051" max="9" man="1"/>
    <brk id="2086" max="9" man="1"/>
    <brk id="2104" max="9" man="1"/>
    <brk id="2140" max="9" man="1"/>
    <brk id="2179" max="9" man="1"/>
    <brk id="2215" max="9" man="1"/>
    <brk id="2249" max="9" man="1"/>
    <brk id="2285" max="9" man="1"/>
    <brk id="2322" max="9" man="1"/>
    <brk id="2357" max="9" man="1"/>
    <brk id="2395" max="9" man="1"/>
    <brk id="2433" max="9" man="1"/>
    <brk id="2469" max="9" man="1"/>
    <brk id="2505" max="9" man="1"/>
    <brk id="2547" max="9" man="1"/>
    <brk id="2586" max="9" man="1"/>
    <brk id="2624" max="9" man="1"/>
    <brk id="2663" max="9" man="1"/>
    <brk id="2701" max="9" man="1"/>
    <brk id="2739" max="9" man="1"/>
    <brk id="2777" max="9" man="1"/>
    <brk id="2817" max="9" man="1"/>
    <brk id="2857" max="9" man="1"/>
    <brk id="2897" max="9" man="1"/>
    <brk id="2937" max="9" man="1"/>
    <brk id="2976" max="9" man="1"/>
    <brk id="3014" max="9" man="1"/>
    <brk id="3053" max="9" man="1"/>
    <brk id="3090" max="9" man="1"/>
    <brk id="3126" max="9" man="1"/>
    <brk id="3162" max="9" man="1"/>
    <brk id="3198" max="9" man="1"/>
    <brk id="3236" max="9" man="1"/>
    <brk id="3274" max="9" man="1"/>
    <brk id="3310" max="9" man="1"/>
    <brk id="3346" max="9" man="1"/>
    <brk id="3383" max="9" man="1"/>
    <brk id="3419" max="9" man="1"/>
    <brk id="3455" max="9" man="1"/>
    <brk id="3490" max="9" man="1"/>
    <brk id="3525" max="9" man="1"/>
    <brk id="3559" max="9" man="1"/>
    <brk id="3596" max="9" man="1"/>
    <brk id="3634" max="9" man="1"/>
    <brk id="3674" max="9" man="1"/>
    <brk id="3714" max="9" man="1"/>
    <brk id="3754" max="9" man="1"/>
    <brk id="3794" max="9" man="1"/>
    <brk id="3834" max="9" man="1"/>
    <brk id="3874" max="9" man="1"/>
    <brk id="3912" max="9" man="1"/>
    <brk id="3951" max="9" man="1"/>
    <brk id="3991" max="9" man="1"/>
    <brk id="4031" max="9" man="1"/>
    <brk id="4071" max="9" man="1"/>
    <brk id="4111" max="9" man="1"/>
    <brk id="4151" max="9" man="1"/>
    <brk id="4189" max="9" man="1"/>
    <brk id="4229" max="9" man="1"/>
    <brk id="4269" max="9" man="1"/>
    <brk id="4309" max="9" man="1"/>
    <brk id="4349" max="9" man="1"/>
    <brk id="4389" max="9" man="1"/>
    <brk id="4429" max="9" man="1"/>
    <brk id="4465" max="9" man="1"/>
    <brk id="4501" max="9" man="1"/>
    <brk id="4541" max="9" man="1"/>
    <brk id="4581" max="9" man="1"/>
    <brk id="4621" max="9" man="1"/>
    <brk id="4662" max="9" man="1"/>
    <brk id="4701" max="9" man="1"/>
    <brk id="4738" max="9" man="1"/>
    <brk id="4773" max="9" man="1"/>
    <brk id="4809" max="9" man="1"/>
    <brk id="4847" max="9" man="1"/>
    <brk id="4885" max="9" man="1"/>
    <brk id="4922" max="9" man="1"/>
    <brk id="4958" max="9" man="1"/>
    <brk id="4994" max="9" man="1"/>
    <brk id="5030" max="9" man="1"/>
    <brk id="5068" max="9" man="1"/>
    <brk id="5106" max="9" man="1"/>
    <brk id="5145" max="9" man="1"/>
    <brk id="5180" max="9" man="1"/>
    <brk id="5216" max="9" man="1"/>
    <brk id="5254" max="9" man="1"/>
    <brk id="5290" max="9" man="1"/>
    <brk id="5326" max="9" man="1"/>
    <brk id="5362" max="9" man="1"/>
    <brk id="5398" max="9" man="1"/>
    <brk id="5434" max="9" man="1"/>
    <brk id="5470" max="9" man="1"/>
    <brk id="5506" max="9" man="1"/>
    <brk id="5542" max="9" man="1"/>
    <brk id="5578" max="9" man="1"/>
    <brk id="5614" max="9" man="1"/>
    <brk id="5650" max="9" man="1"/>
    <brk id="5686" max="9" man="1"/>
    <brk id="5724" max="9" man="1"/>
    <brk id="5762" max="9" man="1"/>
    <brk id="5802" max="9" man="1"/>
    <brk id="5839" max="9" man="1"/>
    <brk id="5876" max="9" man="1"/>
    <brk id="5912" max="9" man="1"/>
    <brk id="5949" max="9" man="1"/>
    <brk id="5986" max="9" man="1"/>
    <brk id="6022" max="9" man="1"/>
    <brk id="6058" max="9" man="1"/>
    <brk id="6098" max="9" man="1"/>
    <brk id="6136" max="9" man="1"/>
    <brk id="6176" max="9" man="1"/>
    <brk id="6214" max="9" man="1"/>
    <brk id="6252" max="9" man="1"/>
    <brk id="6288" max="9" man="1"/>
    <brk id="6324" max="9" man="1"/>
    <brk id="6360" max="9" man="1"/>
    <brk id="6400" max="9" man="1"/>
    <brk id="6437" max="9" man="1"/>
    <brk id="6475" max="9" man="1"/>
    <brk id="6509" max="9" man="1"/>
    <brk id="6543" max="9" man="1"/>
    <brk id="6578" max="9" man="1"/>
    <brk id="6613" max="9" man="1"/>
    <brk id="6647" max="9" man="1"/>
    <brk id="6681" max="9" man="1"/>
    <brk id="6715" max="9" man="1"/>
    <brk id="6751" max="9" man="1"/>
    <brk id="6787" max="9" man="1"/>
    <brk id="6821" max="9" man="1"/>
    <brk id="6856" max="9" man="1"/>
    <brk id="6887" max="9" man="1"/>
    <brk id="6925" max="9" man="1"/>
    <brk id="6965" max="9" man="1"/>
    <brk id="6999" max="9" man="1"/>
    <brk id="7037" max="9" man="1"/>
    <brk id="7072" max="9" man="1"/>
    <brk id="7110" max="9" man="1"/>
    <brk id="7146" max="9" man="1"/>
    <brk id="7187" max="9" man="1"/>
    <brk id="7227" max="9" man="1"/>
    <brk id="7263" max="9" man="1"/>
    <brk id="7301" max="9" man="1"/>
    <brk id="7341" max="9" man="1"/>
    <brk id="7379" max="9" man="1"/>
    <brk id="7418" max="9" man="1"/>
    <brk id="7454" max="9" man="1"/>
    <brk id="7493" max="9" man="1"/>
    <brk id="7530" max="9" man="1"/>
    <brk id="7574" max="9" man="1"/>
    <brk id="7614" max="9" man="1"/>
    <brk id="7650" max="9" man="1"/>
    <brk id="7686" max="9" man="1"/>
    <brk id="7722" max="9" man="1"/>
    <brk id="7758" max="9" man="1"/>
    <brk id="7794" max="9" man="1"/>
    <brk id="7830" max="9" man="1"/>
    <brk id="7866" max="9" man="1"/>
    <brk id="7906" max="9" man="1"/>
    <brk id="7948" max="9" man="1"/>
    <brk id="7995" max="9" man="1"/>
    <brk id="803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9FE88-423F-4A3B-BED0-471CAE12D475}">
  <sheetPr>
    <tabColor theme="4"/>
  </sheetPr>
  <dimension ref="B2:M511"/>
  <sheetViews>
    <sheetView showGridLines="0" topLeftCell="A475" workbookViewId="0">
      <selection activeCell="X482" sqref="X482"/>
    </sheetView>
  </sheetViews>
  <sheetFormatPr defaultRowHeight="15" x14ac:dyDescent="0.25"/>
  <cols>
    <col min="1" max="1" width="1.85546875" customWidth="1"/>
    <col min="2" max="2" width="6" style="87" customWidth="1"/>
    <col min="3" max="3" width="25.42578125" customWidth="1"/>
    <col min="4" max="6" width="6.28515625" customWidth="1"/>
    <col min="7" max="7" width="9.5703125" customWidth="1"/>
    <col min="8" max="8" width="17.42578125" style="86" customWidth="1"/>
    <col min="9" max="9" width="12.140625" customWidth="1"/>
    <col min="10" max="10" width="20.7109375" customWidth="1"/>
    <col min="12" max="12" width="9.85546875" customWidth="1"/>
  </cols>
  <sheetData>
    <row r="2" spans="2:9" ht="24.75" customHeight="1" x14ac:dyDescent="0.25">
      <c r="B2" s="479" t="s">
        <v>1825</v>
      </c>
      <c r="C2" s="480"/>
      <c r="D2" s="480"/>
      <c r="E2" s="480"/>
      <c r="F2" s="480"/>
      <c r="G2" s="480"/>
      <c r="H2" s="480"/>
      <c r="I2" s="481"/>
    </row>
    <row r="3" spans="2:9" ht="21.75" thickBot="1" x14ac:dyDescent="0.3">
      <c r="B3" s="263"/>
      <c r="C3" s="263"/>
      <c r="D3" s="263"/>
      <c r="E3" s="263"/>
      <c r="F3" s="263"/>
      <c r="G3" s="263"/>
      <c r="H3" s="263"/>
      <c r="I3" s="263"/>
    </row>
    <row r="4" spans="2:9" ht="15" customHeight="1" x14ac:dyDescent="0.25">
      <c r="B4" s="482" t="s">
        <v>1826</v>
      </c>
      <c r="C4" s="484" t="s">
        <v>1827</v>
      </c>
      <c r="D4" s="485"/>
      <c r="E4" s="485"/>
      <c r="F4" s="486"/>
      <c r="G4" s="490" t="s">
        <v>330</v>
      </c>
      <c r="H4" s="492" t="s">
        <v>1828</v>
      </c>
      <c r="I4" s="494" t="s">
        <v>1829</v>
      </c>
    </row>
    <row r="5" spans="2:9" ht="15.75" thickBot="1" x14ac:dyDescent="0.3">
      <c r="B5" s="483"/>
      <c r="C5" s="487"/>
      <c r="D5" s="488"/>
      <c r="E5" s="488"/>
      <c r="F5" s="489"/>
      <c r="G5" s="491"/>
      <c r="H5" s="493"/>
      <c r="I5" s="495"/>
    </row>
    <row r="6" spans="2:9" x14ac:dyDescent="0.25">
      <c r="B6" s="264"/>
      <c r="C6" s="265"/>
      <c r="D6" s="266"/>
      <c r="E6" s="266"/>
      <c r="F6" s="267"/>
      <c r="G6" s="268"/>
      <c r="H6" s="269"/>
      <c r="I6" s="270"/>
    </row>
    <row r="7" spans="2:9" x14ac:dyDescent="0.25">
      <c r="B7" s="271">
        <v>1</v>
      </c>
      <c r="C7" s="272" t="s">
        <v>532</v>
      </c>
      <c r="F7" s="273"/>
      <c r="G7" s="274" t="s">
        <v>385</v>
      </c>
      <c r="H7" s="275">
        <v>75</v>
      </c>
      <c r="I7" s="276"/>
    </row>
    <row r="8" spans="2:9" x14ac:dyDescent="0.25">
      <c r="B8" s="271">
        <f>B7+1</f>
        <v>2</v>
      </c>
      <c r="C8" s="272" t="s">
        <v>1810</v>
      </c>
      <c r="F8" s="273"/>
      <c r="G8" s="274" t="s">
        <v>385</v>
      </c>
      <c r="H8" s="275">
        <v>75</v>
      </c>
      <c r="I8" s="276"/>
    </row>
    <row r="9" spans="2:9" x14ac:dyDescent="0.25">
      <c r="B9" s="271">
        <f>B8+1</f>
        <v>3</v>
      </c>
      <c r="C9" s="272" t="s">
        <v>1767</v>
      </c>
      <c r="F9" s="273"/>
      <c r="G9" s="274" t="s">
        <v>158</v>
      </c>
      <c r="H9" s="275">
        <v>35000</v>
      </c>
      <c r="I9" s="276"/>
    </row>
    <row r="10" spans="2:9" x14ac:dyDescent="0.25">
      <c r="B10" s="271">
        <f>B9+1</f>
        <v>4</v>
      </c>
      <c r="C10" s="272" t="s">
        <v>1830</v>
      </c>
      <c r="F10" s="273"/>
      <c r="G10" s="274" t="s">
        <v>385</v>
      </c>
      <c r="H10" s="275">
        <v>3500</v>
      </c>
      <c r="I10" s="276"/>
    </row>
    <row r="11" spans="2:9" x14ac:dyDescent="0.25">
      <c r="B11" s="271">
        <f t="shared" ref="B11:B74" si="0">B10+1</f>
        <v>5</v>
      </c>
      <c r="C11" s="272" t="s">
        <v>1175</v>
      </c>
      <c r="F11" s="273"/>
      <c r="G11" s="274" t="s">
        <v>621</v>
      </c>
      <c r="H11" s="277">
        <v>157440</v>
      </c>
      <c r="I11" s="276"/>
    </row>
    <row r="12" spans="2:9" x14ac:dyDescent="0.25">
      <c r="B12" s="271">
        <f t="shared" si="0"/>
        <v>6</v>
      </c>
      <c r="C12" s="272" t="s">
        <v>1169</v>
      </c>
      <c r="F12" s="273"/>
      <c r="G12" s="274" t="s">
        <v>621</v>
      </c>
      <c r="H12" s="277">
        <v>42700</v>
      </c>
      <c r="I12" s="276"/>
    </row>
    <row r="13" spans="2:9" x14ac:dyDescent="0.25">
      <c r="B13" s="271">
        <f>B12+1</f>
        <v>7</v>
      </c>
      <c r="C13" s="272" t="s">
        <v>1172</v>
      </c>
      <c r="F13" s="273"/>
      <c r="G13" s="274" t="s">
        <v>621</v>
      </c>
      <c r="H13" s="277">
        <v>65450</v>
      </c>
      <c r="I13" s="276"/>
    </row>
    <row r="14" spans="2:9" x14ac:dyDescent="0.25">
      <c r="B14" s="271">
        <f t="shared" si="0"/>
        <v>8</v>
      </c>
      <c r="C14" s="272" t="s">
        <v>1500</v>
      </c>
      <c r="F14" s="273"/>
      <c r="G14" s="274" t="s">
        <v>1501</v>
      </c>
      <c r="H14" s="277">
        <v>680</v>
      </c>
      <c r="I14" s="276"/>
    </row>
    <row r="15" spans="2:9" x14ac:dyDescent="0.25">
      <c r="B15" s="271">
        <f t="shared" si="0"/>
        <v>9</v>
      </c>
      <c r="C15" s="272" t="s">
        <v>1159</v>
      </c>
      <c r="F15" s="273"/>
      <c r="G15" s="274" t="s">
        <v>399</v>
      </c>
      <c r="H15" s="277">
        <v>384810</v>
      </c>
      <c r="I15" s="276"/>
    </row>
    <row r="16" spans="2:9" x14ac:dyDescent="0.25">
      <c r="B16" s="271">
        <f t="shared" si="0"/>
        <v>10</v>
      </c>
      <c r="C16" s="272" t="s">
        <v>771</v>
      </c>
      <c r="F16" s="273"/>
      <c r="G16" s="274" t="s">
        <v>127</v>
      </c>
      <c r="H16" s="277">
        <v>28930</v>
      </c>
      <c r="I16" s="276"/>
    </row>
    <row r="17" spans="2:9" x14ac:dyDescent="0.25">
      <c r="B17" s="271">
        <f t="shared" si="0"/>
        <v>11</v>
      </c>
      <c r="C17" s="272" t="s">
        <v>1306</v>
      </c>
      <c r="F17" s="273"/>
      <c r="G17" s="274" t="s">
        <v>816</v>
      </c>
      <c r="H17" s="277">
        <v>32890</v>
      </c>
      <c r="I17" s="276"/>
    </row>
    <row r="18" spans="2:9" x14ac:dyDescent="0.25">
      <c r="B18" s="271">
        <f t="shared" si="0"/>
        <v>12</v>
      </c>
      <c r="C18" s="272" t="s">
        <v>1299</v>
      </c>
      <c r="F18" s="273"/>
      <c r="G18" s="274" t="s">
        <v>399</v>
      </c>
      <c r="H18" s="277">
        <v>171100</v>
      </c>
      <c r="I18" s="276"/>
    </row>
    <row r="19" spans="2:9" x14ac:dyDescent="0.25">
      <c r="B19" s="271">
        <f t="shared" si="0"/>
        <v>13</v>
      </c>
      <c r="C19" s="272" t="s">
        <v>1471</v>
      </c>
      <c r="F19" s="273"/>
      <c r="G19" s="274" t="s">
        <v>399</v>
      </c>
      <c r="H19" s="277">
        <v>8260</v>
      </c>
      <c r="I19" s="276"/>
    </row>
    <row r="20" spans="2:9" x14ac:dyDescent="0.25">
      <c r="B20" s="271">
        <f t="shared" si="0"/>
        <v>14</v>
      </c>
      <c r="C20" s="272" t="s">
        <v>1165</v>
      </c>
      <c r="F20" s="273"/>
      <c r="G20" s="274" t="s">
        <v>82</v>
      </c>
      <c r="H20" s="277">
        <v>89600</v>
      </c>
      <c r="I20" s="276"/>
    </row>
    <row r="21" spans="2:9" x14ac:dyDescent="0.25">
      <c r="B21" s="271">
        <f t="shared" si="0"/>
        <v>15</v>
      </c>
      <c r="C21" s="272" t="s">
        <v>1218</v>
      </c>
      <c r="F21" s="273"/>
      <c r="G21" s="274" t="s">
        <v>399</v>
      </c>
      <c r="H21" s="277">
        <v>131610</v>
      </c>
      <c r="I21" s="276"/>
    </row>
    <row r="22" spans="2:9" x14ac:dyDescent="0.25">
      <c r="B22" s="271">
        <f t="shared" si="0"/>
        <v>16</v>
      </c>
      <c r="C22" s="272" t="s">
        <v>798</v>
      </c>
      <c r="F22" s="273"/>
      <c r="G22" s="274" t="s">
        <v>799</v>
      </c>
      <c r="H22" s="277">
        <v>50000</v>
      </c>
      <c r="I22" s="276"/>
    </row>
    <row r="23" spans="2:9" x14ac:dyDescent="0.25">
      <c r="B23" s="271">
        <f t="shared" si="0"/>
        <v>17</v>
      </c>
      <c r="C23" s="272" t="s">
        <v>1768</v>
      </c>
      <c r="F23" s="273"/>
      <c r="G23" s="274" t="s">
        <v>1769</v>
      </c>
      <c r="H23" s="277">
        <v>12100</v>
      </c>
      <c r="I23" s="276"/>
    </row>
    <row r="24" spans="2:9" x14ac:dyDescent="0.25">
      <c r="B24" s="271">
        <f t="shared" si="0"/>
        <v>18</v>
      </c>
      <c r="C24" s="272" t="s">
        <v>559</v>
      </c>
      <c r="F24" s="273"/>
      <c r="G24" s="274" t="s">
        <v>385</v>
      </c>
      <c r="H24" s="277">
        <v>56520</v>
      </c>
      <c r="I24" s="276"/>
    </row>
    <row r="25" spans="2:9" x14ac:dyDescent="0.25">
      <c r="B25" s="271">
        <f t="shared" si="0"/>
        <v>19</v>
      </c>
      <c r="C25" s="272" t="s">
        <v>804</v>
      </c>
      <c r="F25" s="273"/>
      <c r="G25" s="274" t="s">
        <v>133</v>
      </c>
      <c r="H25" s="277">
        <v>37500</v>
      </c>
      <c r="I25" s="276"/>
    </row>
    <row r="26" spans="2:9" x14ac:dyDescent="0.25">
      <c r="B26" s="271">
        <f t="shared" si="0"/>
        <v>20</v>
      </c>
      <c r="C26" s="272" t="s">
        <v>784</v>
      </c>
      <c r="F26" s="273"/>
      <c r="G26" s="274" t="s">
        <v>133</v>
      </c>
      <c r="H26" s="277">
        <v>14630</v>
      </c>
      <c r="I26" s="276"/>
    </row>
    <row r="27" spans="2:9" x14ac:dyDescent="0.25">
      <c r="B27" s="271">
        <f t="shared" si="0"/>
        <v>21</v>
      </c>
      <c r="C27" s="272" t="s">
        <v>1563</v>
      </c>
      <c r="F27" s="273"/>
      <c r="G27" s="274" t="s">
        <v>159</v>
      </c>
      <c r="H27" s="277">
        <v>20830</v>
      </c>
      <c r="I27" s="276"/>
    </row>
    <row r="28" spans="2:9" x14ac:dyDescent="0.25">
      <c r="B28" s="271">
        <f t="shared" si="0"/>
        <v>22</v>
      </c>
      <c r="C28" s="272" t="s">
        <v>1568</v>
      </c>
      <c r="F28" s="273"/>
      <c r="G28" s="274" t="s">
        <v>1534</v>
      </c>
      <c r="H28" s="277">
        <v>473000</v>
      </c>
      <c r="I28" s="276"/>
    </row>
    <row r="29" spans="2:9" x14ac:dyDescent="0.25">
      <c r="B29" s="271">
        <f t="shared" si="0"/>
        <v>23</v>
      </c>
      <c r="C29" s="272" t="s">
        <v>1552</v>
      </c>
      <c r="F29" s="273"/>
      <c r="G29" s="274" t="s">
        <v>1534</v>
      </c>
      <c r="H29" s="277">
        <v>393600</v>
      </c>
      <c r="I29" s="276"/>
    </row>
    <row r="30" spans="2:9" x14ac:dyDescent="0.25">
      <c r="B30" s="271">
        <f t="shared" si="0"/>
        <v>24</v>
      </c>
      <c r="C30" s="272" t="s">
        <v>1904</v>
      </c>
      <c r="F30" s="273"/>
      <c r="G30" s="274" t="s">
        <v>158</v>
      </c>
      <c r="H30" s="277">
        <v>6500000</v>
      </c>
      <c r="I30" s="276"/>
    </row>
    <row r="31" spans="2:9" x14ac:dyDescent="0.25">
      <c r="B31" s="271">
        <f t="shared" si="0"/>
        <v>25</v>
      </c>
      <c r="C31" s="272" t="s">
        <v>594</v>
      </c>
      <c r="F31" s="273"/>
      <c r="G31" s="274" t="s">
        <v>158</v>
      </c>
      <c r="H31" s="277">
        <v>4410000</v>
      </c>
      <c r="I31" s="276"/>
    </row>
    <row r="32" spans="2:9" x14ac:dyDescent="0.25">
      <c r="B32" s="271">
        <f t="shared" si="0"/>
        <v>26</v>
      </c>
      <c r="C32" s="272" t="s">
        <v>1365</v>
      </c>
      <c r="F32" s="273"/>
      <c r="G32" s="274" t="s">
        <v>158</v>
      </c>
      <c r="H32" s="277">
        <v>5715000</v>
      </c>
      <c r="I32" s="276"/>
    </row>
    <row r="33" spans="2:9" x14ac:dyDescent="0.25">
      <c r="B33" s="271">
        <f t="shared" si="0"/>
        <v>27</v>
      </c>
      <c r="C33" s="272" t="s">
        <v>440</v>
      </c>
      <c r="F33" s="273"/>
      <c r="G33" s="274" t="s">
        <v>379</v>
      </c>
      <c r="H33" s="277">
        <v>22140</v>
      </c>
      <c r="I33" s="276"/>
    </row>
    <row r="34" spans="2:9" x14ac:dyDescent="0.25">
      <c r="B34" s="271">
        <f t="shared" si="0"/>
        <v>28</v>
      </c>
      <c r="C34" s="272" t="s">
        <v>876</v>
      </c>
      <c r="F34" s="273"/>
      <c r="G34" s="274" t="s">
        <v>130</v>
      </c>
      <c r="H34" s="277">
        <v>9000</v>
      </c>
      <c r="I34" s="276"/>
    </row>
    <row r="35" spans="2:9" x14ac:dyDescent="0.25">
      <c r="B35" s="271">
        <f t="shared" si="0"/>
        <v>29</v>
      </c>
      <c r="C35" s="272" t="s">
        <v>871</v>
      </c>
      <c r="F35" s="273"/>
      <c r="G35" s="274" t="s">
        <v>130</v>
      </c>
      <c r="H35" s="277">
        <v>1820</v>
      </c>
      <c r="I35" s="276"/>
    </row>
    <row r="36" spans="2:9" x14ac:dyDescent="0.25">
      <c r="B36" s="271">
        <f t="shared" si="0"/>
        <v>30</v>
      </c>
      <c r="C36" s="272" t="s">
        <v>417</v>
      </c>
      <c r="F36" s="273"/>
      <c r="G36" s="274" t="s">
        <v>418</v>
      </c>
      <c r="H36" s="277">
        <v>1040</v>
      </c>
      <c r="I36" s="276"/>
    </row>
    <row r="37" spans="2:9" x14ac:dyDescent="0.25">
      <c r="B37" s="271">
        <f t="shared" si="0"/>
        <v>31</v>
      </c>
      <c r="C37" s="272" t="s">
        <v>1118</v>
      </c>
      <c r="F37" s="273"/>
      <c r="G37" s="274" t="s">
        <v>418</v>
      </c>
      <c r="H37" s="277">
        <v>840</v>
      </c>
      <c r="I37" s="276"/>
    </row>
    <row r="38" spans="2:9" x14ac:dyDescent="0.25">
      <c r="B38" s="271">
        <f t="shared" si="0"/>
        <v>32</v>
      </c>
      <c r="C38" s="272" t="s">
        <v>868</v>
      </c>
      <c r="F38" s="273"/>
      <c r="G38" s="274" t="s">
        <v>418</v>
      </c>
      <c r="H38" s="277">
        <v>860</v>
      </c>
      <c r="I38" s="276"/>
    </row>
    <row r="39" spans="2:9" x14ac:dyDescent="0.25">
      <c r="B39" s="271">
        <f t="shared" si="0"/>
        <v>33</v>
      </c>
      <c r="C39" s="272" t="s">
        <v>1549</v>
      </c>
      <c r="F39" s="273"/>
      <c r="G39" s="274" t="s">
        <v>1534</v>
      </c>
      <c r="H39" s="277">
        <v>3355000</v>
      </c>
      <c r="I39" s="276"/>
    </row>
    <row r="40" spans="2:9" x14ac:dyDescent="0.25">
      <c r="B40" s="271">
        <f t="shared" si="0"/>
        <v>34</v>
      </c>
      <c r="C40" s="272" t="s">
        <v>444</v>
      </c>
      <c r="F40" s="273"/>
      <c r="G40" s="274" t="s">
        <v>158</v>
      </c>
      <c r="H40" s="277">
        <v>421500</v>
      </c>
      <c r="I40" s="276"/>
    </row>
    <row r="41" spans="2:9" x14ac:dyDescent="0.25">
      <c r="B41" s="271">
        <f t="shared" si="0"/>
        <v>35</v>
      </c>
      <c r="C41" s="272" t="s">
        <v>1831</v>
      </c>
      <c r="F41" s="273"/>
      <c r="G41" s="274" t="s">
        <v>158</v>
      </c>
      <c r="H41" s="277">
        <v>421500</v>
      </c>
      <c r="I41" s="276"/>
    </row>
    <row r="42" spans="2:9" x14ac:dyDescent="0.25">
      <c r="B42" s="271">
        <f t="shared" si="0"/>
        <v>36</v>
      </c>
      <c r="C42" s="272" t="s">
        <v>926</v>
      </c>
      <c r="F42" s="273"/>
      <c r="G42" s="274" t="s">
        <v>159</v>
      </c>
      <c r="H42" s="277">
        <v>18750</v>
      </c>
      <c r="I42" s="276"/>
    </row>
    <row r="43" spans="2:9" x14ac:dyDescent="0.25">
      <c r="B43" s="271">
        <f t="shared" si="0"/>
        <v>37</v>
      </c>
      <c r="C43" s="272" t="s">
        <v>1121</v>
      </c>
      <c r="F43" s="273"/>
      <c r="G43" s="274" t="s">
        <v>418</v>
      </c>
      <c r="H43" s="277">
        <v>93600</v>
      </c>
      <c r="I43" s="276"/>
    </row>
    <row r="44" spans="2:9" x14ac:dyDescent="0.25">
      <c r="B44" s="271">
        <f t="shared" si="0"/>
        <v>38</v>
      </c>
      <c r="C44" s="272" t="s">
        <v>445</v>
      </c>
      <c r="F44" s="273"/>
      <c r="G44" s="274" t="s">
        <v>158</v>
      </c>
      <c r="H44" s="277">
        <v>413000</v>
      </c>
      <c r="I44" s="276"/>
    </row>
    <row r="45" spans="2:9" x14ac:dyDescent="0.25">
      <c r="B45" s="271">
        <f t="shared" si="0"/>
        <v>39</v>
      </c>
      <c r="C45" s="272" t="s">
        <v>929</v>
      </c>
      <c r="F45" s="273"/>
      <c r="G45" s="274" t="s">
        <v>159</v>
      </c>
      <c r="H45" s="277">
        <v>2910</v>
      </c>
      <c r="I45" s="276"/>
    </row>
    <row r="46" spans="2:9" x14ac:dyDescent="0.25">
      <c r="B46" s="271">
        <f t="shared" si="0"/>
        <v>40</v>
      </c>
      <c r="C46" s="272" t="s">
        <v>810</v>
      </c>
      <c r="F46" s="273"/>
      <c r="G46" s="274" t="s">
        <v>130</v>
      </c>
      <c r="H46" s="277">
        <v>540</v>
      </c>
      <c r="I46" s="276"/>
    </row>
    <row r="47" spans="2:9" x14ac:dyDescent="0.25">
      <c r="B47" s="271">
        <f t="shared" si="0"/>
        <v>41</v>
      </c>
      <c r="C47" s="272" t="s">
        <v>1811</v>
      </c>
      <c r="F47" s="273"/>
      <c r="G47" s="274" t="s">
        <v>133</v>
      </c>
      <c r="H47" s="277">
        <v>5700</v>
      </c>
      <c r="I47" s="276"/>
    </row>
    <row r="48" spans="2:9" x14ac:dyDescent="0.25">
      <c r="B48" s="271">
        <f t="shared" si="0"/>
        <v>42</v>
      </c>
      <c r="C48" s="272" t="s">
        <v>853</v>
      </c>
      <c r="F48" s="273"/>
      <c r="G48" s="274" t="s">
        <v>159</v>
      </c>
      <c r="H48" s="277">
        <v>16000</v>
      </c>
      <c r="I48" s="276"/>
    </row>
    <row r="49" spans="2:9" x14ac:dyDescent="0.25">
      <c r="B49" s="271">
        <f t="shared" si="0"/>
        <v>43</v>
      </c>
      <c r="C49" s="272" t="s">
        <v>524</v>
      </c>
      <c r="F49" s="273"/>
      <c r="G49" s="274" t="s">
        <v>159</v>
      </c>
      <c r="H49" s="277">
        <v>12920</v>
      </c>
      <c r="I49" s="276"/>
    </row>
    <row r="50" spans="2:9" x14ac:dyDescent="0.25">
      <c r="B50" s="271">
        <f t="shared" si="0"/>
        <v>44</v>
      </c>
      <c r="C50" s="272" t="s">
        <v>646</v>
      </c>
      <c r="F50" s="273"/>
      <c r="G50" s="274" t="s">
        <v>159</v>
      </c>
      <c r="H50" s="277">
        <v>37000</v>
      </c>
      <c r="I50" s="276"/>
    </row>
    <row r="51" spans="2:9" x14ac:dyDescent="0.25">
      <c r="B51" s="271">
        <f t="shared" si="0"/>
        <v>45</v>
      </c>
      <c r="C51" s="272" t="s">
        <v>724</v>
      </c>
      <c r="F51" s="273"/>
      <c r="G51" s="274" t="s">
        <v>159</v>
      </c>
      <c r="H51" s="277">
        <v>9750</v>
      </c>
      <c r="I51" s="276"/>
    </row>
    <row r="52" spans="2:9" x14ac:dyDescent="0.25">
      <c r="B52" s="271">
        <f t="shared" si="0"/>
        <v>46</v>
      </c>
      <c r="C52" s="272" t="s">
        <v>746</v>
      </c>
      <c r="D52" s="598"/>
      <c r="E52" s="598"/>
      <c r="F52" s="273"/>
      <c r="G52" s="274" t="s">
        <v>127</v>
      </c>
      <c r="H52" s="277">
        <v>54450</v>
      </c>
      <c r="I52" s="276"/>
    </row>
    <row r="53" spans="2:9" x14ac:dyDescent="0.25">
      <c r="B53" s="271">
        <f t="shared" si="0"/>
        <v>47</v>
      </c>
      <c r="C53" s="272" t="s">
        <v>737</v>
      </c>
      <c r="D53" s="598"/>
      <c r="E53" s="598"/>
      <c r="F53" s="273"/>
      <c r="G53" s="274" t="s">
        <v>159</v>
      </c>
      <c r="H53" s="277">
        <v>11730</v>
      </c>
      <c r="I53" s="276"/>
    </row>
    <row r="54" spans="2:9" x14ac:dyDescent="0.25">
      <c r="B54" s="271">
        <f t="shared" si="0"/>
        <v>48</v>
      </c>
      <c r="C54" s="272" t="s">
        <v>721</v>
      </c>
      <c r="F54" s="273"/>
      <c r="G54" s="274" t="s">
        <v>159</v>
      </c>
      <c r="H54" s="277">
        <v>19350</v>
      </c>
      <c r="I54" s="276"/>
    </row>
    <row r="55" spans="2:9" x14ac:dyDescent="0.25">
      <c r="B55" s="271">
        <f t="shared" si="0"/>
        <v>49</v>
      </c>
      <c r="C55" s="272" t="s">
        <v>745</v>
      </c>
      <c r="F55" s="273"/>
      <c r="G55" s="274" t="s">
        <v>127</v>
      </c>
      <c r="H55" s="277">
        <v>33660</v>
      </c>
      <c r="I55" s="276"/>
    </row>
    <row r="56" spans="2:9" x14ac:dyDescent="0.25">
      <c r="B56" s="271">
        <f t="shared" si="0"/>
        <v>50</v>
      </c>
      <c r="C56" s="272" t="s">
        <v>736</v>
      </c>
      <c r="F56" s="273"/>
      <c r="G56" s="274" t="s">
        <v>159</v>
      </c>
      <c r="H56" s="277">
        <v>16890</v>
      </c>
      <c r="I56" s="276"/>
    </row>
    <row r="57" spans="2:9" x14ac:dyDescent="0.25">
      <c r="B57" s="271">
        <f t="shared" si="0"/>
        <v>51</v>
      </c>
      <c r="C57" s="272" t="s">
        <v>415</v>
      </c>
      <c r="F57" s="273"/>
      <c r="G57" s="274" t="s">
        <v>159</v>
      </c>
      <c r="H57" s="277">
        <v>12500</v>
      </c>
      <c r="I57" s="276"/>
    </row>
    <row r="58" spans="2:9" x14ac:dyDescent="0.25">
      <c r="B58" s="271">
        <f t="shared" si="0"/>
        <v>52</v>
      </c>
      <c r="C58" s="272" t="s">
        <v>1562</v>
      </c>
      <c r="F58" s="273"/>
      <c r="G58" s="274" t="s">
        <v>489</v>
      </c>
      <c r="H58" s="277">
        <v>1464000</v>
      </c>
      <c r="I58" s="276"/>
    </row>
    <row r="59" spans="2:9" x14ac:dyDescent="0.25">
      <c r="B59" s="271">
        <f t="shared" si="0"/>
        <v>53</v>
      </c>
      <c r="C59" s="272" t="s">
        <v>1375</v>
      </c>
      <c r="F59" s="273"/>
      <c r="G59" s="274" t="s">
        <v>82</v>
      </c>
      <c r="H59" s="277">
        <v>92250</v>
      </c>
      <c r="I59" s="276"/>
    </row>
    <row r="60" spans="2:9" x14ac:dyDescent="0.25">
      <c r="B60" s="271">
        <f t="shared" si="0"/>
        <v>54</v>
      </c>
      <c r="C60" s="272" t="s">
        <v>1248</v>
      </c>
      <c r="F60" s="273"/>
      <c r="G60" s="274" t="s">
        <v>399</v>
      </c>
      <c r="H60" s="277">
        <v>19520</v>
      </c>
      <c r="I60" s="276"/>
    </row>
    <row r="61" spans="2:9" x14ac:dyDescent="0.25">
      <c r="B61" s="271">
        <f t="shared" si="0"/>
        <v>55</v>
      </c>
      <c r="C61" s="272" t="s">
        <v>1523</v>
      </c>
      <c r="F61" s="273"/>
      <c r="G61" s="274" t="s">
        <v>159</v>
      </c>
      <c r="H61" s="277">
        <v>54900</v>
      </c>
      <c r="I61" s="276"/>
    </row>
    <row r="62" spans="2:9" x14ac:dyDescent="0.25">
      <c r="B62" s="271">
        <f t="shared" si="0"/>
        <v>56</v>
      </c>
      <c r="C62" s="272" t="s">
        <v>1517</v>
      </c>
      <c r="F62" s="273"/>
      <c r="G62" s="274" t="s">
        <v>159</v>
      </c>
      <c r="H62" s="277">
        <v>58500</v>
      </c>
      <c r="I62" s="276"/>
    </row>
    <row r="63" spans="2:9" x14ac:dyDescent="0.25">
      <c r="B63" s="271">
        <f t="shared" si="0"/>
        <v>57</v>
      </c>
      <c r="C63" s="272" t="s">
        <v>1522</v>
      </c>
      <c r="F63" s="273"/>
      <c r="G63" s="274" t="s">
        <v>159</v>
      </c>
      <c r="H63" s="277">
        <v>37200</v>
      </c>
      <c r="I63" s="276"/>
    </row>
    <row r="64" spans="2:9" x14ac:dyDescent="0.25">
      <c r="B64" s="271">
        <f t="shared" si="0"/>
        <v>58</v>
      </c>
      <c r="C64" s="272" t="s">
        <v>1467</v>
      </c>
      <c r="F64" s="273"/>
      <c r="G64" s="274" t="s">
        <v>159</v>
      </c>
      <c r="H64" s="277">
        <v>39370</v>
      </c>
      <c r="I64" s="276"/>
    </row>
    <row r="65" spans="2:9" x14ac:dyDescent="0.25">
      <c r="B65" s="271">
        <f t="shared" si="0"/>
        <v>59</v>
      </c>
      <c r="C65" s="272" t="s">
        <v>1490</v>
      </c>
      <c r="F65" s="273"/>
      <c r="G65" s="274" t="s">
        <v>159</v>
      </c>
      <c r="H65" s="277">
        <v>78650</v>
      </c>
      <c r="I65" s="276"/>
    </row>
    <row r="66" spans="2:9" x14ac:dyDescent="0.25">
      <c r="B66" s="271">
        <f t="shared" si="0"/>
        <v>60</v>
      </c>
      <c r="C66" s="272" t="s">
        <v>1465</v>
      </c>
      <c r="F66" s="273"/>
      <c r="G66" s="274" t="s">
        <v>159</v>
      </c>
      <c r="H66" s="277">
        <v>30750</v>
      </c>
      <c r="I66" s="276"/>
    </row>
    <row r="67" spans="2:9" x14ac:dyDescent="0.25">
      <c r="B67" s="271">
        <f t="shared" si="0"/>
        <v>61</v>
      </c>
      <c r="C67" s="272" t="s">
        <v>1468</v>
      </c>
      <c r="F67" s="273"/>
      <c r="G67" s="274" t="s">
        <v>159</v>
      </c>
      <c r="H67" s="277">
        <v>65000</v>
      </c>
      <c r="I67" s="276"/>
    </row>
    <row r="68" spans="2:9" x14ac:dyDescent="0.25">
      <c r="B68" s="271">
        <f t="shared" si="0"/>
        <v>62</v>
      </c>
      <c r="C68" s="272" t="s">
        <v>1491</v>
      </c>
      <c r="F68" s="273"/>
      <c r="G68" s="274" t="s">
        <v>159</v>
      </c>
      <c r="H68" s="277">
        <v>40600</v>
      </c>
      <c r="I68" s="276"/>
    </row>
    <row r="69" spans="2:9" x14ac:dyDescent="0.25">
      <c r="B69" s="271">
        <f t="shared" si="0"/>
        <v>63</v>
      </c>
      <c r="C69" s="272" t="s">
        <v>1533</v>
      </c>
      <c r="F69" s="273"/>
      <c r="G69" s="274" t="s">
        <v>1534</v>
      </c>
      <c r="H69" s="277">
        <v>2825000</v>
      </c>
      <c r="I69" s="276"/>
    </row>
    <row r="70" spans="2:9" x14ac:dyDescent="0.25">
      <c r="B70" s="271">
        <f t="shared" si="0"/>
        <v>64</v>
      </c>
      <c r="C70" s="272" t="s">
        <v>1538</v>
      </c>
      <c r="F70" s="273"/>
      <c r="G70" s="274" t="s">
        <v>1534</v>
      </c>
      <c r="H70" s="277">
        <v>174000</v>
      </c>
      <c r="I70" s="276"/>
    </row>
    <row r="71" spans="2:9" x14ac:dyDescent="0.25">
      <c r="B71" s="271">
        <f t="shared" si="0"/>
        <v>65</v>
      </c>
      <c r="C71" s="272" t="s">
        <v>1487</v>
      </c>
      <c r="F71" s="273"/>
      <c r="G71" s="274" t="s">
        <v>159</v>
      </c>
      <c r="H71" s="277">
        <v>47340</v>
      </c>
      <c r="I71" s="276"/>
    </row>
    <row r="72" spans="2:9" x14ac:dyDescent="0.25">
      <c r="B72" s="271">
        <f t="shared" si="0"/>
        <v>66</v>
      </c>
      <c r="C72" s="272" t="s">
        <v>1124</v>
      </c>
      <c r="F72" s="273"/>
      <c r="G72" s="274" t="s">
        <v>418</v>
      </c>
      <c r="H72" s="277">
        <v>16500</v>
      </c>
      <c r="I72" s="276"/>
    </row>
    <row r="73" spans="2:9" x14ac:dyDescent="0.25">
      <c r="B73" s="271">
        <f t="shared" si="0"/>
        <v>67</v>
      </c>
      <c r="C73" s="272" t="s">
        <v>378</v>
      </c>
      <c r="F73" s="273"/>
      <c r="G73" s="274" t="s">
        <v>379</v>
      </c>
      <c r="H73" s="277">
        <v>31250</v>
      </c>
      <c r="I73" s="276"/>
    </row>
    <row r="74" spans="2:9" x14ac:dyDescent="0.25">
      <c r="B74" s="271">
        <f t="shared" si="0"/>
        <v>68</v>
      </c>
      <c r="C74" s="272" t="s">
        <v>1408</v>
      </c>
      <c r="F74" s="273"/>
      <c r="G74" s="274" t="s">
        <v>1409</v>
      </c>
      <c r="H74" s="277">
        <v>305000</v>
      </c>
      <c r="I74" s="276"/>
    </row>
    <row r="75" spans="2:9" x14ac:dyDescent="0.25">
      <c r="B75" s="271">
        <f t="shared" ref="B75:B138" si="1">B74+1</f>
        <v>69</v>
      </c>
      <c r="C75" s="272" t="s">
        <v>1415</v>
      </c>
      <c r="F75" s="273"/>
      <c r="G75" s="274" t="s">
        <v>418</v>
      </c>
      <c r="H75" s="277">
        <v>121250</v>
      </c>
      <c r="I75" s="276"/>
    </row>
    <row r="76" spans="2:9" x14ac:dyDescent="0.25">
      <c r="B76" s="271">
        <f t="shared" si="1"/>
        <v>70</v>
      </c>
      <c r="C76" s="272" t="s">
        <v>1418</v>
      </c>
      <c r="F76" s="273"/>
      <c r="G76" s="274" t="s">
        <v>418</v>
      </c>
      <c r="H76" s="277">
        <v>114660</v>
      </c>
      <c r="I76" s="276"/>
    </row>
    <row r="77" spans="2:9" x14ac:dyDescent="0.25">
      <c r="B77" s="271">
        <f t="shared" si="1"/>
        <v>71</v>
      </c>
      <c r="C77" s="272" t="s">
        <v>649</v>
      </c>
      <c r="F77" s="273"/>
      <c r="G77" s="274" t="s">
        <v>418</v>
      </c>
      <c r="H77" s="277">
        <v>12500</v>
      </c>
      <c r="I77" s="276"/>
    </row>
    <row r="78" spans="2:9" x14ac:dyDescent="0.25">
      <c r="B78" s="271">
        <f t="shared" si="1"/>
        <v>72</v>
      </c>
      <c r="C78" s="272" t="s">
        <v>1399</v>
      </c>
      <c r="F78" s="273"/>
      <c r="G78" s="274" t="s">
        <v>418</v>
      </c>
      <c r="H78" s="277">
        <v>9600</v>
      </c>
      <c r="I78" s="276"/>
    </row>
    <row r="79" spans="2:9" x14ac:dyDescent="0.25">
      <c r="B79" s="271">
        <f t="shared" si="1"/>
        <v>73</v>
      </c>
      <c r="C79" s="272" t="s">
        <v>1396</v>
      </c>
      <c r="F79" s="273"/>
      <c r="G79" s="274" t="s">
        <v>418</v>
      </c>
      <c r="H79" s="277">
        <v>22800</v>
      </c>
      <c r="I79" s="276"/>
    </row>
    <row r="80" spans="2:9" x14ac:dyDescent="0.25">
      <c r="B80" s="271">
        <f t="shared" si="1"/>
        <v>74</v>
      </c>
      <c r="C80" s="272" t="s">
        <v>1393</v>
      </c>
      <c r="F80" s="273"/>
      <c r="G80" s="274" t="s">
        <v>418</v>
      </c>
      <c r="H80" s="277">
        <v>21420</v>
      </c>
      <c r="I80" s="276"/>
    </row>
    <row r="81" spans="2:9" x14ac:dyDescent="0.25">
      <c r="B81" s="271">
        <f t="shared" si="1"/>
        <v>75</v>
      </c>
      <c r="C81" s="272" t="s">
        <v>1787</v>
      </c>
      <c r="F81" s="273"/>
      <c r="G81" s="274" t="s">
        <v>130</v>
      </c>
      <c r="H81" s="277">
        <v>700</v>
      </c>
      <c r="I81" s="276"/>
    </row>
    <row r="82" spans="2:9" x14ac:dyDescent="0.25">
      <c r="B82" s="271">
        <f t="shared" si="1"/>
        <v>76</v>
      </c>
      <c r="C82" s="272" t="s">
        <v>1782</v>
      </c>
      <c r="F82" s="273"/>
      <c r="G82" s="274" t="s">
        <v>130</v>
      </c>
      <c r="H82" s="277">
        <v>30500</v>
      </c>
      <c r="I82" s="276"/>
    </row>
    <row r="83" spans="2:9" x14ac:dyDescent="0.25">
      <c r="B83" s="271">
        <f t="shared" si="1"/>
        <v>77</v>
      </c>
      <c r="C83" s="272" t="s">
        <v>1574</v>
      </c>
      <c r="F83" s="273"/>
      <c r="G83" s="274" t="s">
        <v>1534</v>
      </c>
      <c r="H83" s="277">
        <v>280000</v>
      </c>
      <c r="I83" s="276"/>
    </row>
    <row r="84" spans="2:9" x14ac:dyDescent="0.25">
      <c r="B84" s="271">
        <f t="shared" si="1"/>
        <v>78</v>
      </c>
      <c r="C84" s="272" t="s">
        <v>1832</v>
      </c>
      <c r="F84" s="273"/>
      <c r="G84" s="274" t="s">
        <v>159</v>
      </c>
      <c r="H84" s="277">
        <v>4320</v>
      </c>
      <c r="I84" s="276"/>
    </row>
    <row r="85" spans="2:9" x14ac:dyDescent="0.25">
      <c r="B85" s="271">
        <f t="shared" si="1"/>
        <v>79</v>
      </c>
      <c r="C85" s="272" t="s">
        <v>1336</v>
      </c>
      <c r="F85" s="273"/>
      <c r="G85" s="274" t="s">
        <v>621</v>
      </c>
      <c r="H85" s="277">
        <v>103500</v>
      </c>
      <c r="I85" s="276"/>
    </row>
    <row r="86" spans="2:9" x14ac:dyDescent="0.25">
      <c r="B86" s="271">
        <f t="shared" si="1"/>
        <v>80</v>
      </c>
      <c r="C86" s="272" t="s">
        <v>1269</v>
      </c>
      <c r="F86" s="273"/>
      <c r="G86" s="274" t="s">
        <v>418</v>
      </c>
      <c r="H86" s="277">
        <v>3060</v>
      </c>
      <c r="I86" s="276"/>
    </row>
    <row r="87" spans="2:9" x14ac:dyDescent="0.25">
      <c r="B87" s="271">
        <f t="shared" si="1"/>
        <v>81</v>
      </c>
      <c r="C87" s="272" t="s">
        <v>1266</v>
      </c>
      <c r="F87" s="273"/>
      <c r="G87" s="274" t="s">
        <v>418</v>
      </c>
      <c r="H87" s="277">
        <v>2920</v>
      </c>
      <c r="I87" s="276"/>
    </row>
    <row r="88" spans="2:9" x14ac:dyDescent="0.25">
      <c r="B88" s="271">
        <f t="shared" si="1"/>
        <v>82</v>
      </c>
      <c r="C88" s="272" t="s">
        <v>1208</v>
      </c>
      <c r="F88" s="273"/>
      <c r="G88" s="274" t="s">
        <v>418</v>
      </c>
      <c r="H88" s="277">
        <v>6150</v>
      </c>
      <c r="I88" s="276"/>
    </row>
    <row r="89" spans="2:9" x14ac:dyDescent="0.25">
      <c r="B89" s="271">
        <f t="shared" si="1"/>
        <v>83</v>
      </c>
      <c r="C89" s="272" t="s">
        <v>1203</v>
      </c>
      <c r="F89" s="273"/>
      <c r="G89" s="274" t="s">
        <v>418</v>
      </c>
      <c r="H89" s="277">
        <v>1790</v>
      </c>
      <c r="I89" s="276"/>
    </row>
    <row r="90" spans="2:9" x14ac:dyDescent="0.25">
      <c r="B90" s="271">
        <f t="shared" si="1"/>
        <v>84</v>
      </c>
      <c r="C90" s="272" t="s">
        <v>1274</v>
      </c>
      <c r="F90" s="273"/>
      <c r="G90" s="274" t="s">
        <v>418</v>
      </c>
      <c r="H90" s="277">
        <v>43750</v>
      </c>
      <c r="I90" s="276"/>
    </row>
    <row r="91" spans="2:9" x14ac:dyDescent="0.25">
      <c r="B91" s="271">
        <f t="shared" si="1"/>
        <v>85</v>
      </c>
      <c r="C91" s="272" t="s">
        <v>1200</v>
      </c>
      <c r="F91" s="273"/>
      <c r="G91" s="274" t="s">
        <v>418</v>
      </c>
      <c r="H91" s="277">
        <v>2900</v>
      </c>
      <c r="I91" s="276"/>
    </row>
    <row r="92" spans="2:9" x14ac:dyDescent="0.25">
      <c r="B92" s="271">
        <f t="shared" si="1"/>
        <v>86</v>
      </c>
      <c r="C92" s="272" t="s">
        <v>1184</v>
      </c>
      <c r="F92" s="273"/>
      <c r="G92" s="274" t="s">
        <v>621</v>
      </c>
      <c r="H92" s="277">
        <v>101790</v>
      </c>
      <c r="I92" s="276"/>
    </row>
    <row r="93" spans="2:9" x14ac:dyDescent="0.25">
      <c r="B93" s="271">
        <f t="shared" si="1"/>
        <v>87</v>
      </c>
      <c r="C93" s="272" t="s">
        <v>863</v>
      </c>
      <c r="F93" s="273"/>
      <c r="G93" s="274" t="s">
        <v>418</v>
      </c>
      <c r="H93" s="277">
        <v>7410</v>
      </c>
      <c r="I93" s="276"/>
    </row>
    <row r="94" spans="2:9" x14ac:dyDescent="0.25">
      <c r="B94" s="271">
        <f t="shared" si="1"/>
        <v>88</v>
      </c>
      <c r="C94" s="272" t="s">
        <v>858</v>
      </c>
      <c r="F94" s="273"/>
      <c r="G94" s="274" t="s">
        <v>418</v>
      </c>
      <c r="H94" s="277">
        <v>8260</v>
      </c>
      <c r="I94" s="276"/>
    </row>
    <row r="95" spans="2:9" x14ac:dyDescent="0.25">
      <c r="B95" s="271">
        <f t="shared" si="1"/>
        <v>89</v>
      </c>
      <c r="C95" s="272" t="s">
        <v>852</v>
      </c>
      <c r="F95" s="273"/>
      <c r="G95" s="274" t="s">
        <v>418</v>
      </c>
      <c r="H95" s="277">
        <v>12100</v>
      </c>
      <c r="I95" s="276"/>
    </row>
    <row r="96" spans="2:9" x14ac:dyDescent="0.25">
      <c r="B96" s="271">
        <f t="shared" si="1"/>
        <v>90</v>
      </c>
      <c r="C96" s="272" t="s">
        <v>497</v>
      </c>
      <c r="F96" s="273"/>
      <c r="G96" s="274" t="s">
        <v>158</v>
      </c>
      <c r="H96" s="277">
        <v>241500</v>
      </c>
      <c r="I96" s="276"/>
    </row>
    <row r="97" spans="2:9" x14ac:dyDescent="0.25">
      <c r="B97" s="271">
        <f t="shared" si="1"/>
        <v>91</v>
      </c>
      <c r="C97" s="272" t="s">
        <v>583</v>
      </c>
      <c r="F97" s="273"/>
      <c r="G97" s="274" t="s">
        <v>133</v>
      </c>
      <c r="H97" s="277">
        <v>13320</v>
      </c>
      <c r="I97" s="276"/>
    </row>
    <row r="98" spans="2:9" x14ac:dyDescent="0.25">
      <c r="B98" s="271">
        <f t="shared" si="1"/>
        <v>92</v>
      </c>
      <c r="C98" s="272" t="s">
        <v>420</v>
      </c>
      <c r="F98" s="273"/>
      <c r="G98" s="274" t="s">
        <v>418</v>
      </c>
      <c r="H98" s="277">
        <v>30140</v>
      </c>
      <c r="I98" s="276"/>
    </row>
    <row r="99" spans="2:9" x14ac:dyDescent="0.25">
      <c r="B99" s="271">
        <f t="shared" si="1"/>
        <v>93</v>
      </c>
      <c r="C99" s="272" t="s">
        <v>787</v>
      </c>
      <c r="F99" s="273"/>
      <c r="G99" s="274" t="s">
        <v>82</v>
      </c>
      <c r="H99" s="277">
        <v>64350</v>
      </c>
      <c r="I99" s="276"/>
    </row>
    <row r="100" spans="2:9" x14ac:dyDescent="0.25">
      <c r="B100" s="271">
        <f t="shared" si="1"/>
        <v>94</v>
      </c>
      <c r="C100" s="272" t="s">
        <v>1789</v>
      </c>
      <c r="F100" s="273"/>
      <c r="G100" s="274" t="s">
        <v>418</v>
      </c>
      <c r="H100" s="277">
        <v>660000</v>
      </c>
      <c r="I100" s="276"/>
    </row>
    <row r="101" spans="2:9" x14ac:dyDescent="0.25">
      <c r="B101" s="271">
        <f t="shared" si="1"/>
        <v>95</v>
      </c>
      <c r="C101" s="272" t="s">
        <v>1776</v>
      </c>
      <c r="F101" s="273"/>
      <c r="G101" s="274" t="s">
        <v>127</v>
      </c>
      <c r="H101" s="277">
        <v>11600</v>
      </c>
      <c r="I101" s="276"/>
    </row>
    <row r="102" spans="2:9" x14ac:dyDescent="0.25">
      <c r="B102" s="271">
        <f t="shared" si="1"/>
        <v>96</v>
      </c>
      <c r="C102" s="272" t="s">
        <v>1447</v>
      </c>
      <c r="F102" s="273"/>
      <c r="G102" s="274" t="s">
        <v>82</v>
      </c>
      <c r="H102" s="277">
        <v>946700</v>
      </c>
      <c r="I102" s="276"/>
    </row>
    <row r="103" spans="2:9" x14ac:dyDescent="0.25">
      <c r="B103" s="271">
        <f t="shared" si="1"/>
        <v>97</v>
      </c>
      <c r="C103" s="272" t="s">
        <v>1438</v>
      </c>
      <c r="F103" s="273"/>
      <c r="G103" s="274" t="s">
        <v>82</v>
      </c>
      <c r="H103" s="277">
        <v>165000</v>
      </c>
      <c r="I103" s="276"/>
    </row>
    <row r="104" spans="2:9" x14ac:dyDescent="0.25">
      <c r="B104" s="271">
        <f t="shared" si="1"/>
        <v>98</v>
      </c>
      <c r="C104" s="272" t="s">
        <v>1441</v>
      </c>
      <c r="D104" s="598"/>
      <c r="E104" s="598"/>
      <c r="F104" s="273"/>
      <c r="G104" s="274" t="s">
        <v>82</v>
      </c>
      <c r="H104" s="277">
        <v>171570</v>
      </c>
      <c r="I104" s="276"/>
    </row>
    <row r="105" spans="2:9" x14ac:dyDescent="0.25">
      <c r="B105" s="271">
        <f t="shared" si="1"/>
        <v>99</v>
      </c>
      <c r="C105" s="272" t="s">
        <v>1444</v>
      </c>
      <c r="F105" s="273"/>
      <c r="G105" s="274" t="s">
        <v>82</v>
      </c>
      <c r="H105" s="277">
        <v>296100</v>
      </c>
      <c r="I105" s="276"/>
    </row>
    <row r="106" spans="2:9" x14ac:dyDescent="0.25">
      <c r="B106" s="271">
        <f t="shared" si="1"/>
        <v>100</v>
      </c>
      <c r="C106" s="272" t="s">
        <v>1450</v>
      </c>
      <c r="F106" s="273"/>
      <c r="G106" s="274" t="s">
        <v>82</v>
      </c>
      <c r="H106" s="277">
        <v>102850</v>
      </c>
      <c r="I106" s="276"/>
    </row>
    <row r="107" spans="2:9" x14ac:dyDescent="0.25">
      <c r="B107" s="271">
        <f t="shared" si="1"/>
        <v>101</v>
      </c>
      <c r="C107" s="272" t="s">
        <v>421</v>
      </c>
      <c r="F107" s="273"/>
      <c r="G107" s="274" t="s">
        <v>82</v>
      </c>
      <c r="H107" s="277">
        <v>138600</v>
      </c>
      <c r="I107" s="276"/>
    </row>
    <row r="108" spans="2:9" x14ac:dyDescent="0.25">
      <c r="B108" s="271">
        <f t="shared" si="1"/>
        <v>102</v>
      </c>
      <c r="C108" s="272" t="s">
        <v>1428</v>
      </c>
      <c r="F108" s="273"/>
      <c r="G108" s="274" t="s">
        <v>82</v>
      </c>
      <c r="H108" s="277">
        <v>112500</v>
      </c>
      <c r="I108" s="276"/>
    </row>
    <row r="109" spans="2:9" x14ac:dyDescent="0.25">
      <c r="B109" s="271">
        <f t="shared" si="1"/>
        <v>103</v>
      </c>
      <c r="C109" s="272" t="s">
        <v>1432</v>
      </c>
      <c r="F109" s="273"/>
      <c r="G109" s="274" t="s">
        <v>82</v>
      </c>
      <c r="H109" s="277">
        <v>141600</v>
      </c>
      <c r="I109" s="276"/>
    </row>
    <row r="110" spans="2:9" x14ac:dyDescent="0.25">
      <c r="B110" s="271">
        <f t="shared" si="1"/>
        <v>104</v>
      </c>
      <c r="C110" s="272" t="s">
        <v>1435</v>
      </c>
      <c r="F110" s="273"/>
      <c r="G110" s="274" t="s">
        <v>82</v>
      </c>
      <c r="H110" s="277">
        <v>222040</v>
      </c>
      <c r="I110" s="276"/>
    </row>
    <row r="111" spans="2:9" x14ac:dyDescent="0.25">
      <c r="B111" s="271">
        <f t="shared" si="1"/>
        <v>105</v>
      </c>
      <c r="C111" s="272" t="s">
        <v>1405</v>
      </c>
      <c r="F111" s="273"/>
      <c r="G111" s="274" t="s">
        <v>418</v>
      </c>
      <c r="H111" s="277">
        <v>6600</v>
      </c>
      <c r="I111" s="276"/>
    </row>
    <row r="112" spans="2:9" x14ac:dyDescent="0.25">
      <c r="B112" s="271">
        <f t="shared" si="1"/>
        <v>106</v>
      </c>
      <c r="C112" s="272" t="s">
        <v>1496</v>
      </c>
      <c r="F112" s="273"/>
      <c r="G112" s="274" t="s">
        <v>159</v>
      </c>
      <c r="H112" s="277">
        <v>5880</v>
      </c>
      <c r="I112" s="276"/>
    </row>
    <row r="113" spans="2:9" x14ac:dyDescent="0.25">
      <c r="B113" s="271">
        <f t="shared" si="1"/>
        <v>107</v>
      </c>
      <c r="C113" s="272" t="s">
        <v>492</v>
      </c>
      <c r="F113" s="273"/>
      <c r="G113" s="274" t="s">
        <v>158</v>
      </c>
      <c r="H113" s="277">
        <v>448950</v>
      </c>
      <c r="I113" s="276"/>
    </row>
    <row r="114" spans="2:9" x14ac:dyDescent="0.25">
      <c r="B114" s="271">
        <f t="shared" si="1"/>
        <v>108</v>
      </c>
      <c r="C114" s="272" t="s">
        <v>901</v>
      </c>
      <c r="F114" s="273"/>
      <c r="G114" s="274" t="s">
        <v>158</v>
      </c>
      <c r="H114" s="277">
        <v>529200</v>
      </c>
      <c r="I114" s="276"/>
    </row>
    <row r="115" spans="2:9" x14ac:dyDescent="0.25">
      <c r="B115" s="271">
        <f t="shared" si="1"/>
        <v>109</v>
      </c>
      <c r="C115" s="272" t="s">
        <v>1499</v>
      </c>
      <c r="F115" s="273"/>
      <c r="G115" s="274" t="s">
        <v>159</v>
      </c>
      <c r="H115" s="277">
        <v>16370</v>
      </c>
      <c r="I115" s="276"/>
    </row>
    <row r="116" spans="2:9" x14ac:dyDescent="0.25">
      <c r="B116" s="271">
        <f t="shared" si="1"/>
        <v>110</v>
      </c>
      <c r="C116" s="272" t="s">
        <v>525</v>
      </c>
      <c r="F116" s="273"/>
      <c r="G116" s="274" t="s">
        <v>159</v>
      </c>
      <c r="H116" s="277">
        <v>27260</v>
      </c>
      <c r="I116" s="276"/>
    </row>
    <row r="117" spans="2:9" x14ac:dyDescent="0.25">
      <c r="B117" s="271">
        <f t="shared" si="1"/>
        <v>111</v>
      </c>
      <c r="C117" s="272" t="s">
        <v>1802</v>
      </c>
      <c r="F117" s="273"/>
      <c r="G117" s="274" t="s">
        <v>399</v>
      </c>
      <c r="H117" s="277">
        <v>980980</v>
      </c>
      <c r="I117" s="276"/>
    </row>
    <row r="118" spans="2:9" x14ac:dyDescent="0.25">
      <c r="B118" s="271">
        <f>B117+1</f>
        <v>112</v>
      </c>
      <c r="C118" s="272" t="s">
        <v>1188</v>
      </c>
      <c r="F118" s="273"/>
      <c r="G118" s="274" t="s">
        <v>133</v>
      </c>
      <c r="H118" s="277">
        <v>24800</v>
      </c>
      <c r="I118" s="276"/>
    </row>
    <row r="119" spans="2:9" x14ac:dyDescent="0.25">
      <c r="B119" s="271">
        <f t="shared" si="1"/>
        <v>113</v>
      </c>
      <c r="C119" s="272" t="s">
        <v>403</v>
      </c>
      <c r="F119" s="273"/>
      <c r="G119" s="274" t="s">
        <v>404</v>
      </c>
      <c r="H119" s="277">
        <v>24800</v>
      </c>
      <c r="I119" s="276"/>
    </row>
    <row r="120" spans="2:9" x14ac:dyDescent="0.25">
      <c r="B120" s="271">
        <f t="shared" si="1"/>
        <v>114</v>
      </c>
      <c r="C120" s="272" t="s">
        <v>1807</v>
      </c>
      <c r="F120" s="273"/>
      <c r="G120" s="274" t="s">
        <v>159</v>
      </c>
      <c r="H120" s="277">
        <v>130000</v>
      </c>
      <c r="I120" s="276"/>
    </row>
    <row r="121" spans="2:9" x14ac:dyDescent="0.25">
      <c r="B121" s="271">
        <f t="shared" si="1"/>
        <v>115</v>
      </c>
      <c r="C121" s="272" t="s">
        <v>457</v>
      </c>
      <c r="F121" s="273"/>
      <c r="G121" s="274" t="s">
        <v>399</v>
      </c>
      <c r="H121" s="277">
        <v>134200</v>
      </c>
      <c r="I121" s="276"/>
    </row>
    <row r="122" spans="2:9" x14ac:dyDescent="0.25">
      <c r="B122" s="271">
        <f t="shared" si="1"/>
        <v>116</v>
      </c>
      <c r="C122" s="272" t="s">
        <v>738</v>
      </c>
      <c r="F122" s="273"/>
      <c r="G122" s="274" t="s">
        <v>159</v>
      </c>
      <c r="H122" s="277">
        <v>56250</v>
      </c>
      <c r="I122" s="276"/>
    </row>
    <row r="123" spans="2:9" x14ac:dyDescent="0.25">
      <c r="B123" s="271">
        <f t="shared" si="1"/>
        <v>117</v>
      </c>
      <c r="C123" s="272" t="s">
        <v>741</v>
      </c>
      <c r="F123" s="273"/>
      <c r="G123" s="274" t="s">
        <v>159</v>
      </c>
      <c r="H123" s="277">
        <v>54900</v>
      </c>
      <c r="I123" s="276"/>
    </row>
    <row r="124" spans="2:9" x14ac:dyDescent="0.25">
      <c r="B124" s="271">
        <f t="shared" si="1"/>
        <v>118</v>
      </c>
      <c r="C124" s="272" t="s">
        <v>783</v>
      </c>
      <c r="F124" s="273"/>
      <c r="G124" s="274" t="s">
        <v>82</v>
      </c>
      <c r="H124" s="277">
        <v>13560</v>
      </c>
      <c r="I124" s="276"/>
    </row>
    <row r="125" spans="2:9" x14ac:dyDescent="0.25">
      <c r="B125" s="271">
        <f t="shared" si="1"/>
        <v>119</v>
      </c>
      <c r="C125" s="272" t="s">
        <v>426</v>
      </c>
      <c r="F125" s="273"/>
      <c r="G125" s="274" t="s">
        <v>158</v>
      </c>
      <c r="H125" s="277">
        <v>6765000</v>
      </c>
      <c r="I125" s="276"/>
    </row>
    <row r="126" spans="2:9" x14ac:dyDescent="0.25">
      <c r="B126" s="271">
        <f t="shared" si="1"/>
        <v>120</v>
      </c>
      <c r="C126" s="272" t="s">
        <v>382</v>
      </c>
      <c r="F126" s="273"/>
      <c r="G126" s="274" t="s">
        <v>158</v>
      </c>
      <c r="H126" s="277">
        <v>6765000</v>
      </c>
      <c r="I126" s="276"/>
    </row>
    <row r="127" spans="2:9" x14ac:dyDescent="0.25">
      <c r="B127" s="271">
        <f t="shared" si="1"/>
        <v>121</v>
      </c>
      <c r="C127" s="272" t="s">
        <v>408</v>
      </c>
      <c r="F127" s="273"/>
      <c r="G127" s="274" t="s">
        <v>158</v>
      </c>
      <c r="H127" s="277">
        <f>H126</f>
        <v>6765000</v>
      </c>
      <c r="I127" s="276"/>
    </row>
    <row r="128" spans="2:9" x14ac:dyDescent="0.25">
      <c r="B128" s="271">
        <f t="shared" si="1"/>
        <v>122</v>
      </c>
      <c r="C128" s="272" t="s">
        <v>437</v>
      </c>
      <c r="F128" s="273"/>
      <c r="G128" s="274" t="s">
        <v>158</v>
      </c>
      <c r="H128" s="277">
        <v>2646000</v>
      </c>
      <c r="I128" s="276"/>
    </row>
    <row r="129" spans="2:13" x14ac:dyDescent="0.25">
      <c r="B129" s="271">
        <f t="shared" si="1"/>
        <v>123</v>
      </c>
      <c r="C129" s="272" t="s">
        <v>1287</v>
      </c>
      <c r="F129" s="273"/>
      <c r="G129" s="274" t="s">
        <v>489</v>
      </c>
      <c r="H129" s="277">
        <v>4375000</v>
      </c>
      <c r="I129" s="276"/>
    </row>
    <row r="130" spans="2:13" x14ac:dyDescent="0.25">
      <c r="B130" s="271">
        <f t="shared" si="1"/>
        <v>124</v>
      </c>
      <c r="C130" s="272" t="s">
        <v>1564</v>
      </c>
      <c r="F130" s="273"/>
      <c r="G130" s="274" t="s">
        <v>816</v>
      </c>
      <c r="H130" s="277">
        <v>1500000</v>
      </c>
      <c r="I130" s="276"/>
    </row>
    <row r="131" spans="2:13" x14ac:dyDescent="0.25">
      <c r="B131" s="271">
        <f t="shared" si="1"/>
        <v>125</v>
      </c>
      <c r="C131" s="272" t="s">
        <v>647</v>
      </c>
      <c r="F131" s="273"/>
      <c r="G131" s="274" t="s">
        <v>158</v>
      </c>
      <c r="H131" s="277">
        <v>4375000</v>
      </c>
      <c r="I131" s="276"/>
    </row>
    <row r="132" spans="2:13" x14ac:dyDescent="0.25">
      <c r="B132" s="271">
        <f t="shared" si="1"/>
        <v>126</v>
      </c>
      <c r="C132" s="272" t="s">
        <v>1352</v>
      </c>
      <c r="F132" s="273"/>
      <c r="G132" s="274" t="s">
        <v>158</v>
      </c>
      <c r="H132" s="277">
        <v>5500000</v>
      </c>
      <c r="I132" s="276"/>
    </row>
    <row r="133" spans="2:13" x14ac:dyDescent="0.25">
      <c r="B133" s="271">
        <f t="shared" si="1"/>
        <v>127</v>
      </c>
      <c r="C133" s="272" t="s">
        <v>618</v>
      </c>
      <c r="F133" s="273"/>
      <c r="G133" s="274" t="s">
        <v>489</v>
      </c>
      <c r="H133" s="277">
        <v>5500000</v>
      </c>
      <c r="I133" s="276"/>
    </row>
    <row r="134" spans="2:13" x14ac:dyDescent="0.25">
      <c r="B134" s="271">
        <f t="shared" si="1"/>
        <v>128</v>
      </c>
      <c r="C134" s="272" t="s">
        <v>586</v>
      </c>
      <c r="F134" s="273"/>
      <c r="G134" s="274" t="s">
        <v>158</v>
      </c>
      <c r="H134" s="277">
        <v>4500000</v>
      </c>
      <c r="I134" s="276"/>
    </row>
    <row r="135" spans="2:13" x14ac:dyDescent="0.25">
      <c r="B135" s="271">
        <f t="shared" si="1"/>
        <v>129</v>
      </c>
      <c r="C135" s="272" t="s">
        <v>608</v>
      </c>
      <c r="F135" s="273"/>
      <c r="G135" s="274" t="s">
        <v>158</v>
      </c>
      <c r="H135" s="277">
        <v>4500000</v>
      </c>
      <c r="I135" s="276"/>
    </row>
    <row r="136" spans="2:13" x14ac:dyDescent="0.25">
      <c r="B136" s="271">
        <f t="shared" si="1"/>
        <v>130</v>
      </c>
      <c r="C136" s="272" t="s">
        <v>1181</v>
      </c>
      <c r="F136" s="273"/>
      <c r="G136" s="274" t="s">
        <v>158</v>
      </c>
      <c r="H136" s="277">
        <v>4500000</v>
      </c>
      <c r="I136" s="276"/>
    </row>
    <row r="137" spans="2:13" x14ac:dyDescent="0.25">
      <c r="B137" s="271">
        <f t="shared" si="1"/>
        <v>131</v>
      </c>
      <c r="C137" s="272" t="s">
        <v>410</v>
      </c>
      <c r="F137" s="273"/>
      <c r="G137" s="274" t="s">
        <v>158</v>
      </c>
      <c r="H137" s="277">
        <v>4165000</v>
      </c>
      <c r="I137" s="276"/>
    </row>
    <row r="138" spans="2:13" x14ac:dyDescent="0.25">
      <c r="B138" s="271">
        <f t="shared" si="1"/>
        <v>132</v>
      </c>
      <c r="C138" s="272" t="s">
        <v>1140</v>
      </c>
      <c r="F138" s="273"/>
      <c r="G138" s="274" t="s">
        <v>489</v>
      </c>
      <c r="H138" s="277">
        <v>7407750</v>
      </c>
      <c r="I138" s="276"/>
    </row>
    <row r="139" spans="2:13" x14ac:dyDescent="0.25">
      <c r="B139" s="271">
        <f t="shared" ref="B139:B206" si="2">B138+1</f>
        <v>133</v>
      </c>
      <c r="C139" s="272" t="s">
        <v>791</v>
      </c>
      <c r="F139" s="273"/>
      <c r="G139" s="274" t="s">
        <v>158</v>
      </c>
      <c r="H139" s="277">
        <v>4305000</v>
      </c>
      <c r="I139" s="276"/>
    </row>
    <row r="140" spans="2:13" x14ac:dyDescent="0.25">
      <c r="B140" s="271">
        <f t="shared" si="2"/>
        <v>134</v>
      </c>
      <c r="C140" s="272" t="s">
        <v>436</v>
      </c>
      <c r="F140" s="273"/>
      <c r="G140" s="274" t="s">
        <v>158</v>
      </c>
      <c r="H140" s="277">
        <v>3175000</v>
      </c>
      <c r="I140" s="276"/>
    </row>
    <row r="141" spans="2:13" x14ac:dyDescent="0.25">
      <c r="B141" s="271">
        <f t="shared" si="2"/>
        <v>135</v>
      </c>
      <c r="C141" s="272" t="s">
        <v>1792</v>
      </c>
      <c r="F141" s="273"/>
      <c r="G141" s="274" t="s">
        <v>158</v>
      </c>
      <c r="H141" s="277">
        <v>6765000</v>
      </c>
      <c r="I141" s="276"/>
    </row>
    <row r="142" spans="2:13" x14ac:dyDescent="0.25">
      <c r="B142" s="271">
        <f t="shared" si="2"/>
        <v>136</v>
      </c>
      <c r="C142" s="272" t="s">
        <v>1793</v>
      </c>
      <c r="F142" s="273"/>
      <c r="G142" s="274" t="s">
        <v>158</v>
      </c>
      <c r="H142" s="277">
        <f>H141</f>
        <v>6765000</v>
      </c>
      <c r="I142" s="276"/>
    </row>
    <row r="143" spans="2:13" x14ac:dyDescent="0.25">
      <c r="B143" s="271">
        <f t="shared" si="2"/>
        <v>137</v>
      </c>
      <c r="C143" s="272" t="s">
        <v>1048</v>
      </c>
      <c r="F143" s="273"/>
      <c r="G143" s="274" t="s">
        <v>418</v>
      </c>
      <c r="H143" s="277">
        <v>1900</v>
      </c>
      <c r="I143" s="276"/>
      <c r="M143" s="278"/>
    </row>
    <row r="144" spans="2:13" x14ac:dyDescent="0.25">
      <c r="B144" s="271">
        <f t="shared" si="2"/>
        <v>138</v>
      </c>
      <c r="C144" s="272" t="s">
        <v>1045</v>
      </c>
      <c r="F144" s="273"/>
      <c r="G144" s="274" t="s">
        <v>418</v>
      </c>
      <c r="H144" s="277">
        <v>1900</v>
      </c>
      <c r="I144" s="276"/>
      <c r="M144" s="278"/>
    </row>
    <row r="145" spans="2:9" x14ac:dyDescent="0.25">
      <c r="B145" s="271">
        <f t="shared" si="2"/>
        <v>139</v>
      </c>
      <c r="C145" s="272" t="s">
        <v>1109</v>
      </c>
      <c r="F145" s="273"/>
      <c r="G145" s="274" t="s">
        <v>418</v>
      </c>
      <c r="H145" s="277">
        <v>2200</v>
      </c>
      <c r="I145" s="276"/>
    </row>
    <row r="146" spans="2:9" x14ac:dyDescent="0.25">
      <c r="B146" s="271">
        <f t="shared" si="2"/>
        <v>140</v>
      </c>
      <c r="C146" s="272" t="s">
        <v>1112</v>
      </c>
      <c r="F146" s="273"/>
      <c r="G146" s="274" t="s">
        <v>418</v>
      </c>
      <c r="H146" s="277">
        <v>4200</v>
      </c>
      <c r="I146" s="276"/>
    </row>
    <row r="147" spans="2:9" x14ac:dyDescent="0.25">
      <c r="B147" s="271">
        <f t="shared" si="2"/>
        <v>141</v>
      </c>
      <c r="C147" s="272" t="s">
        <v>1103</v>
      </c>
      <c r="F147" s="273"/>
      <c r="G147" s="274" t="s">
        <v>418</v>
      </c>
      <c r="H147" s="277">
        <v>1900</v>
      </c>
      <c r="I147" s="276"/>
    </row>
    <row r="148" spans="2:9" x14ac:dyDescent="0.25">
      <c r="B148" s="271">
        <f t="shared" si="2"/>
        <v>142</v>
      </c>
      <c r="C148" s="272" t="s">
        <v>1106</v>
      </c>
      <c r="F148" s="273"/>
      <c r="G148" s="274" t="s">
        <v>418</v>
      </c>
      <c r="H148" s="277">
        <v>2200</v>
      </c>
      <c r="I148" s="276"/>
    </row>
    <row r="149" spans="2:9" x14ac:dyDescent="0.25">
      <c r="B149" s="271">
        <f t="shared" si="2"/>
        <v>143</v>
      </c>
      <c r="C149" s="272" t="s">
        <v>1063</v>
      </c>
      <c r="F149" s="273"/>
      <c r="G149" s="274" t="s">
        <v>418</v>
      </c>
      <c r="H149" s="277">
        <v>13560</v>
      </c>
      <c r="I149" s="276"/>
    </row>
    <row r="150" spans="2:9" x14ac:dyDescent="0.25">
      <c r="B150" s="271">
        <f t="shared" si="2"/>
        <v>144</v>
      </c>
      <c r="C150" s="272" t="s">
        <v>1057</v>
      </c>
      <c r="F150" s="273"/>
      <c r="G150" s="274" t="s">
        <v>418</v>
      </c>
      <c r="H150" s="277">
        <v>5000</v>
      </c>
      <c r="I150" s="276"/>
    </row>
    <row r="151" spans="2:9" x14ac:dyDescent="0.25">
      <c r="B151" s="271">
        <f t="shared" si="2"/>
        <v>145</v>
      </c>
      <c r="C151" s="272" t="s">
        <v>1054</v>
      </c>
      <c r="F151" s="273"/>
      <c r="G151" s="274" t="s">
        <v>418</v>
      </c>
      <c r="H151" s="277">
        <v>7500</v>
      </c>
      <c r="I151" s="276"/>
    </row>
    <row r="152" spans="2:9" x14ac:dyDescent="0.25">
      <c r="B152" s="271">
        <f t="shared" si="2"/>
        <v>146</v>
      </c>
      <c r="C152" s="272" t="s">
        <v>1051</v>
      </c>
      <c r="F152" s="273"/>
      <c r="G152" s="274" t="s">
        <v>418</v>
      </c>
      <c r="H152" s="277">
        <v>9000</v>
      </c>
      <c r="I152" s="276"/>
    </row>
    <row r="153" spans="2:9" x14ac:dyDescent="0.25">
      <c r="B153" s="271">
        <f t="shared" si="2"/>
        <v>147</v>
      </c>
      <c r="C153" s="272" t="s">
        <v>1922</v>
      </c>
      <c r="F153" s="273"/>
      <c r="G153" s="274" t="s">
        <v>158</v>
      </c>
      <c r="H153" s="277">
        <v>600000</v>
      </c>
      <c r="I153" s="276"/>
    </row>
    <row r="154" spans="2:9" x14ac:dyDescent="0.25">
      <c r="B154" s="271">
        <f t="shared" si="2"/>
        <v>148</v>
      </c>
      <c r="C154" s="272" t="s">
        <v>1923</v>
      </c>
      <c r="F154" s="273"/>
      <c r="G154" s="274" t="s">
        <v>133</v>
      </c>
      <c r="H154" s="277">
        <f>H153/1350</f>
        <v>444.44444444444446</v>
      </c>
      <c r="I154" s="276"/>
    </row>
    <row r="155" spans="2:9" x14ac:dyDescent="0.25">
      <c r="B155" s="271">
        <f t="shared" si="2"/>
        <v>149</v>
      </c>
      <c r="C155" s="272" t="s">
        <v>1921</v>
      </c>
      <c r="D155" s="598"/>
      <c r="E155" s="598"/>
      <c r="F155" s="273"/>
      <c r="G155" s="274" t="s">
        <v>158</v>
      </c>
      <c r="H155" s="277">
        <v>600000</v>
      </c>
      <c r="I155" s="276"/>
    </row>
    <row r="156" spans="2:9" x14ac:dyDescent="0.25">
      <c r="B156" s="271">
        <f t="shared" si="2"/>
        <v>150</v>
      </c>
      <c r="C156" s="272" t="s">
        <v>1920</v>
      </c>
      <c r="F156" s="273"/>
      <c r="G156" s="274" t="s">
        <v>133</v>
      </c>
      <c r="H156" s="277">
        <f>H155/1350</f>
        <v>444.44444444444446</v>
      </c>
      <c r="I156" s="276"/>
    </row>
    <row r="157" spans="2:9" x14ac:dyDescent="0.25">
      <c r="B157" s="271">
        <f>B156+1</f>
        <v>151</v>
      </c>
      <c r="C157" s="272" t="s">
        <v>1786</v>
      </c>
      <c r="F157" s="273"/>
      <c r="G157" s="274" t="s">
        <v>130</v>
      </c>
      <c r="H157" s="277">
        <v>1860</v>
      </c>
      <c r="I157" s="276"/>
    </row>
    <row r="158" spans="2:9" x14ac:dyDescent="0.25">
      <c r="B158" s="271">
        <f t="shared" si="2"/>
        <v>152</v>
      </c>
      <c r="C158" s="272" t="s">
        <v>1780</v>
      </c>
      <c r="F158" s="273"/>
      <c r="G158" s="274" t="s">
        <v>130</v>
      </c>
      <c r="H158" s="277">
        <v>940</v>
      </c>
      <c r="I158" s="276"/>
    </row>
    <row r="159" spans="2:9" x14ac:dyDescent="0.25">
      <c r="B159" s="271">
        <f t="shared" si="2"/>
        <v>153</v>
      </c>
      <c r="C159" s="272" t="s">
        <v>461</v>
      </c>
      <c r="F159" s="273"/>
      <c r="G159" s="274" t="s">
        <v>379</v>
      </c>
      <c r="H159" s="277">
        <v>237890</v>
      </c>
      <c r="I159" s="276"/>
    </row>
    <row r="160" spans="2:9" x14ac:dyDescent="0.25">
      <c r="B160" s="271">
        <f t="shared" si="2"/>
        <v>154</v>
      </c>
      <c r="C160" s="272" t="s">
        <v>462</v>
      </c>
      <c r="F160" s="273"/>
      <c r="G160" s="274" t="s">
        <v>158</v>
      </c>
      <c r="H160" s="277">
        <v>600000</v>
      </c>
      <c r="I160" s="276"/>
    </row>
    <row r="161" spans="2:9" x14ac:dyDescent="0.25">
      <c r="B161" s="271">
        <f t="shared" si="2"/>
        <v>155</v>
      </c>
      <c r="C161" s="272" t="s">
        <v>381</v>
      </c>
      <c r="F161" s="273"/>
      <c r="G161" s="274" t="s">
        <v>158</v>
      </c>
      <c r="H161" s="277">
        <v>600000</v>
      </c>
      <c r="I161" s="276"/>
    </row>
    <row r="162" spans="2:9" x14ac:dyDescent="0.25">
      <c r="B162" s="271">
        <f t="shared" si="2"/>
        <v>156</v>
      </c>
      <c r="C162" s="272" t="s">
        <v>1586</v>
      </c>
      <c r="F162" s="273"/>
      <c r="G162" s="274" t="s">
        <v>75</v>
      </c>
      <c r="H162" s="277">
        <v>31500</v>
      </c>
      <c r="I162" s="276"/>
    </row>
    <row r="163" spans="2:9" x14ac:dyDescent="0.25">
      <c r="B163" s="271">
        <f t="shared" si="2"/>
        <v>157</v>
      </c>
      <c r="C163" s="272" t="s">
        <v>1469</v>
      </c>
      <c r="F163" s="273"/>
      <c r="G163" s="274" t="s">
        <v>418</v>
      </c>
      <c r="H163" s="277">
        <v>20740</v>
      </c>
      <c r="I163" s="276"/>
    </row>
    <row r="164" spans="2:9" x14ac:dyDescent="0.25">
      <c r="B164" s="271">
        <f t="shared" si="2"/>
        <v>158</v>
      </c>
      <c r="C164" s="272" t="s">
        <v>1425</v>
      </c>
      <c r="F164" s="273"/>
      <c r="G164" s="274" t="s">
        <v>1422</v>
      </c>
      <c r="H164" s="277">
        <v>15120</v>
      </c>
      <c r="I164" s="276"/>
    </row>
    <row r="165" spans="2:9" x14ac:dyDescent="0.25">
      <c r="B165" s="271">
        <f t="shared" si="2"/>
        <v>159</v>
      </c>
      <c r="C165" s="272" t="s">
        <v>1390</v>
      </c>
      <c r="F165" s="273"/>
      <c r="G165" s="274" t="s">
        <v>418</v>
      </c>
      <c r="H165" s="277">
        <v>87750</v>
      </c>
      <c r="I165" s="276"/>
    </row>
    <row r="166" spans="2:9" x14ac:dyDescent="0.25">
      <c r="B166" s="271">
        <f t="shared" si="2"/>
        <v>160</v>
      </c>
      <c r="C166" s="272" t="s">
        <v>1412</v>
      </c>
      <c r="F166" s="273"/>
      <c r="G166" s="274" t="s">
        <v>418</v>
      </c>
      <c r="H166" s="277">
        <v>62500</v>
      </c>
      <c r="I166" s="276"/>
    </row>
    <row r="167" spans="2:9" x14ac:dyDescent="0.25">
      <c r="B167" s="271">
        <f t="shared" si="2"/>
        <v>161</v>
      </c>
      <c r="C167" s="272" t="s">
        <v>422</v>
      </c>
      <c r="F167" s="273"/>
      <c r="G167" s="274" t="s">
        <v>418</v>
      </c>
      <c r="H167" s="277">
        <v>130000</v>
      </c>
      <c r="I167" s="276"/>
    </row>
    <row r="168" spans="2:9" x14ac:dyDescent="0.25">
      <c r="B168" s="271">
        <f t="shared" si="2"/>
        <v>162</v>
      </c>
      <c r="C168" s="272" t="s">
        <v>1381</v>
      </c>
      <c r="F168" s="273"/>
      <c r="G168" s="274" t="s">
        <v>418</v>
      </c>
      <c r="H168" s="277">
        <v>315000</v>
      </c>
      <c r="I168" s="276"/>
    </row>
    <row r="169" spans="2:9" x14ac:dyDescent="0.25">
      <c r="B169" s="271">
        <f t="shared" si="2"/>
        <v>163</v>
      </c>
      <c r="C169" s="272" t="s">
        <v>1384</v>
      </c>
      <c r="F169" s="273"/>
      <c r="G169" s="274" t="s">
        <v>418</v>
      </c>
      <c r="H169" s="277">
        <v>159900</v>
      </c>
      <c r="I169" s="276"/>
    </row>
    <row r="170" spans="2:9" x14ac:dyDescent="0.25">
      <c r="B170" s="271">
        <f t="shared" si="2"/>
        <v>164</v>
      </c>
      <c r="C170" s="272" t="s">
        <v>1387</v>
      </c>
      <c r="F170" s="273"/>
      <c r="G170" s="274" t="s">
        <v>418</v>
      </c>
      <c r="H170" s="277">
        <v>58500</v>
      </c>
      <c r="I170" s="276"/>
    </row>
    <row r="171" spans="2:9" x14ac:dyDescent="0.25">
      <c r="B171" s="271">
        <f t="shared" si="2"/>
        <v>165</v>
      </c>
      <c r="C171" s="272" t="s">
        <v>1778</v>
      </c>
      <c r="F171" s="273"/>
      <c r="G171" s="274" t="s">
        <v>130</v>
      </c>
      <c r="H171" s="277">
        <v>12300</v>
      </c>
      <c r="I171" s="276"/>
    </row>
    <row r="172" spans="2:9" x14ac:dyDescent="0.25">
      <c r="B172" s="271">
        <f t="shared" si="2"/>
        <v>166</v>
      </c>
      <c r="C172" s="272" t="s">
        <v>1081</v>
      </c>
      <c r="F172" s="273"/>
      <c r="G172" s="274" t="s">
        <v>82</v>
      </c>
      <c r="H172" s="277">
        <v>500000</v>
      </c>
      <c r="I172" s="276"/>
    </row>
    <row r="173" spans="2:9" x14ac:dyDescent="0.25">
      <c r="B173" s="271">
        <f t="shared" si="2"/>
        <v>167</v>
      </c>
      <c r="C173" s="272" t="s">
        <v>645</v>
      </c>
      <c r="F173" s="273"/>
      <c r="G173" s="274" t="s">
        <v>158</v>
      </c>
      <c r="H173" s="277">
        <v>945000</v>
      </c>
      <c r="I173" s="276"/>
    </row>
    <row r="174" spans="2:9" x14ac:dyDescent="0.25">
      <c r="B174" s="271">
        <f t="shared" si="2"/>
        <v>168</v>
      </c>
      <c r="C174" s="272" t="s">
        <v>1779</v>
      </c>
      <c r="F174" s="273"/>
      <c r="G174" s="274" t="s">
        <v>130</v>
      </c>
      <c r="H174" s="277">
        <v>1190</v>
      </c>
      <c r="I174" s="276"/>
    </row>
    <row r="175" spans="2:9" x14ac:dyDescent="0.25">
      <c r="B175" s="271">
        <f t="shared" si="2"/>
        <v>169</v>
      </c>
      <c r="C175" s="272" t="s">
        <v>1082</v>
      </c>
      <c r="F175" s="273"/>
      <c r="G175" s="274" t="s">
        <v>159</v>
      </c>
      <c r="H175" s="277">
        <v>15210</v>
      </c>
      <c r="I175" s="276"/>
    </row>
    <row r="176" spans="2:9" x14ac:dyDescent="0.25">
      <c r="B176" s="271">
        <f t="shared" si="2"/>
        <v>170</v>
      </c>
      <c r="C176" s="272" t="s">
        <v>1131</v>
      </c>
      <c r="F176" s="273"/>
      <c r="G176" s="274" t="s">
        <v>159</v>
      </c>
      <c r="H176" s="277">
        <v>19050</v>
      </c>
      <c r="I176" s="276"/>
    </row>
    <row r="177" spans="2:9" x14ac:dyDescent="0.25">
      <c r="B177" s="271">
        <f t="shared" si="2"/>
        <v>171</v>
      </c>
      <c r="C177" s="272" t="s">
        <v>1884</v>
      </c>
      <c r="F177" s="273"/>
      <c r="G177" s="274" t="s">
        <v>127</v>
      </c>
      <c r="H177" s="277">
        <v>15000</v>
      </c>
      <c r="I177" s="276"/>
    </row>
    <row r="178" spans="2:9" x14ac:dyDescent="0.25">
      <c r="B178" s="271">
        <f t="shared" si="2"/>
        <v>172</v>
      </c>
      <c r="C178" s="272" t="s">
        <v>1376</v>
      </c>
      <c r="F178" s="273"/>
      <c r="G178" s="274" t="s">
        <v>158</v>
      </c>
      <c r="H178" s="277">
        <v>5995000</v>
      </c>
      <c r="I178" s="276"/>
    </row>
    <row r="179" spans="2:9" x14ac:dyDescent="0.25">
      <c r="B179" s="271">
        <f t="shared" si="2"/>
        <v>173</v>
      </c>
      <c r="C179" s="272" t="s">
        <v>1192</v>
      </c>
      <c r="F179" s="273"/>
      <c r="G179" s="274" t="s">
        <v>127</v>
      </c>
      <c r="H179" s="277">
        <v>3510</v>
      </c>
      <c r="I179" s="276"/>
    </row>
    <row r="180" spans="2:9" x14ac:dyDescent="0.25">
      <c r="B180" s="271">
        <f t="shared" si="2"/>
        <v>174</v>
      </c>
      <c r="C180" s="272" t="s">
        <v>1115</v>
      </c>
      <c r="F180" s="273"/>
      <c r="G180" s="274" t="s">
        <v>418</v>
      </c>
      <c r="H180" s="277">
        <v>69020</v>
      </c>
      <c r="I180" s="276"/>
    </row>
    <row r="181" spans="2:9" x14ac:dyDescent="0.25">
      <c r="B181" s="271">
        <f t="shared" si="2"/>
        <v>175</v>
      </c>
      <c r="C181" s="272" t="s">
        <v>1078</v>
      </c>
      <c r="F181" s="273"/>
      <c r="G181" s="274" t="s">
        <v>418</v>
      </c>
      <c r="H181" s="277">
        <v>69020</v>
      </c>
      <c r="I181" s="276"/>
    </row>
    <row r="182" spans="2:9" x14ac:dyDescent="0.25">
      <c r="B182" s="271">
        <f t="shared" si="2"/>
        <v>176</v>
      </c>
      <c r="C182" s="272" t="s">
        <v>251</v>
      </c>
      <c r="F182" s="273"/>
      <c r="G182" s="274" t="s">
        <v>418</v>
      </c>
      <c r="H182" s="277">
        <v>250000</v>
      </c>
      <c r="I182" s="276"/>
    </row>
    <row r="183" spans="2:9" x14ac:dyDescent="0.25">
      <c r="B183" s="271">
        <f t="shared" si="2"/>
        <v>177</v>
      </c>
      <c r="C183" s="272" t="s">
        <v>400</v>
      </c>
      <c r="F183" s="273"/>
      <c r="G183" s="274" t="s">
        <v>385</v>
      </c>
      <c r="H183" s="277">
        <v>35100</v>
      </c>
      <c r="I183" s="276"/>
    </row>
    <row r="184" spans="2:9" x14ac:dyDescent="0.25">
      <c r="B184" s="271">
        <f t="shared" si="2"/>
        <v>178</v>
      </c>
      <c r="C184" s="272" t="s">
        <v>1515</v>
      </c>
      <c r="F184" s="273"/>
      <c r="G184" s="274" t="s">
        <v>159</v>
      </c>
      <c r="H184" s="277">
        <v>38080</v>
      </c>
      <c r="I184" s="276"/>
    </row>
    <row r="185" spans="2:9" x14ac:dyDescent="0.25">
      <c r="B185" s="271">
        <f t="shared" si="2"/>
        <v>179</v>
      </c>
      <c r="C185" s="272" t="s">
        <v>1516</v>
      </c>
      <c r="F185" s="273"/>
      <c r="G185" s="274" t="s">
        <v>159</v>
      </c>
      <c r="H185" s="277">
        <v>45360</v>
      </c>
      <c r="I185" s="276"/>
    </row>
    <row r="186" spans="2:9" x14ac:dyDescent="0.25">
      <c r="B186" s="271">
        <f t="shared" si="2"/>
        <v>180</v>
      </c>
      <c r="C186" s="272" t="s">
        <v>1509</v>
      </c>
      <c r="F186" s="273"/>
      <c r="G186" s="274" t="s">
        <v>159</v>
      </c>
      <c r="H186" s="277">
        <v>34290</v>
      </c>
      <c r="I186" s="276"/>
    </row>
    <row r="187" spans="2:9" x14ac:dyDescent="0.25">
      <c r="B187" s="271">
        <f t="shared" si="2"/>
        <v>181</v>
      </c>
      <c r="C187" s="272" t="s">
        <v>588</v>
      </c>
      <c r="F187" s="273"/>
      <c r="G187" s="274" t="s">
        <v>385</v>
      </c>
      <c r="H187" s="277">
        <v>7310</v>
      </c>
      <c r="I187" s="276"/>
    </row>
    <row r="188" spans="2:9" x14ac:dyDescent="0.25">
      <c r="B188" s="271">
        <f t="shared" si="2"/>
        <v>182</v>
      </c>
      <c r="C188" s="272" t="s">
        <v>729</v>
      </c>
      <c r="F188" s="273"/>
      <c r="G188" s="274" t="s">
        <v>385</v>
      </c>
      <c r="H188" s="277">
        <v>12400</v>
      </c>
      <c r="I188" s="276"/>
    </row>
    <row r="189" spans="2:9" x14ac:dyDescent="0.25">
      <c r="B189" s="271">
        <f t="shared" si="2"/>
        <v>183</v>
      </c>
      <c r="C189" s="272" t="s">
        <v>1781</v>
      </c>
      <c r="F189" s="273"/>
      <c r="G189" s="274" t="s">
        <v>130</v>
      </c>
      <c r="H189" s="277">
        <v>1850</v>
      </c>
      <c r="I189" s="276"/>
    </row>
    <row r="190" spans="2:9" x14ac:dyDescent="0.25">
      <c r="B190" s="271">
        <f t="shared" si="2"/>
        <v>184</v>
      </c>
      <c r="C190" s="272" t="s">
        <v>877</v>
      </c>
      <c r="F190" s="273"/>
      <c r="G190" s="274" t="s">
        <v>159</v>
      </c>
      <c r="H190" s="277">
        <v>13970</v>
      </c>
      <c r="I190" s="276"/>
    </row>
    <row r="191" spans="2:9" x14ac:dyDescent="0.25">
      <c r="B191" s="271">
        <f t="shared" si="2"/>
        <v>185</v>
      </c>
      <c r="C191" s="272" t="s">
        <v>1286</v>
      </c>
      <c r="F191" s="273"/>
      <c r="G191" s="274" t="s">
        <v>418</v>
      </c>
      <c r="H191" s="277">
        <v>30500</v>
      </c>
      <c r="I191" s="276"/>
    </row>
    <row r="192" spans="2:9" x14ac:dyDescent="0.25">
      <c r="B192" s="271">
        <f t="shared" si="2"/>
        <v>186</v>
      </c>
      <c r="C192" s="272" t="s">
        <v>1283</v>
      </c>
      <c r="F192" s="273"/>
      <c r="G192" s="274" t="s">
        <v>418</v>
      </c>
      <c r="H192" s="277">
        <v>18750</v>
      </c>
      <c r="I192" s="276"/>
    </row>
    <row r="193" spans="2:9" x14ac:dyDescent="0.25">
      <c r="B193" s="271">
        <f t="shared" si="2"/>
        <v>187</v>
      </c>
      <c r="C193" s="272" t="s">
        <v>1290</v>
      </c>
      <c r="F193" s="273"/>
      <c r="G193" s="274" t="s">
        <v>418</v>
      </c>
      <c r="H193" s="277">
        <v>92130</v>
      </c>
      <c r="I193" s="276"/>
    </row>
    <row r="194" spans="2:9" x14ac:dyDescent="0.25">
      <c r="B194" s="271">
        <f t="shared" si="2"/>
        <v>188</v>
      </c>
      <c r="C194" s="272" t="s">
        <v>1255</v>
      </c>
      <c r="F194" s="273"/>
      <c r="G194" s="274" t="s">
        <v>399</v>
      </c>
      <c r="H194" s="277">
        <v>46480</v>
      </c>
      <c r="I194" s="276"/>
    </row>
    <row r="195" spans="2:9" x14ac:dyDescent="0.25">
      <c r="B195" s="271">
        <f t="shared" si="2"/>
        <v>189</v>
      </c>
      <c r="C195" s="272" t="s">
        <v>1303</v>
      </c>
      <c r="F195" s="273"/>
      <c r="G195" s="274" t="s">
        <v>418</v>
      </c>
      <c r="H195" s="277">
        <v>6600</v>
      </c>
      <c r="I195" s="276"/>
    </row>
    <row r="196" spans="2:9" x14ac:dyDescent="0.25">
      <c r="B196" s="271">
        <f t="shared" si="2"/>
        <v>190</v>
      </c>
      <c r="C196" s="272" t="s">
        <v>1801</v>
      </c>
      <c r="F196" s="273"/>
      <c r="G196" s="274" t="s">
        <v>418</v>
      </c>
      <c r="H196" s="277">
        <v>37000</v>
      </c>
      <c r="I196" s="276"/>
    </row>
    <row r="197" spans="2:9" x14ac:dyDescent="0.25">
      <c r="B197" s="271">
        <f t="shared" si="2"/>
        <v>191</v>
      </c>
      <c r="C197" s="272" t="s">
        <v>1770</v>
      </c>
      <c r="F197" s="273"/>
      <c r="G197" s="274" t="s">
        <v>1769</v>
      </c>
      <c r="H197" s="277">
        <v>44450</v>
      </c>
      <c r="I197" s="276"/>
    </row>
    <row r="198" spans="2:9" x14ac:dyDescent="0.25">
      <c r="B198" s="271">
        <f t="shared" si="2"/>
        <v>192</v>
      </c>
      <c r="C198" s="272" t="s">
        <v>409</v>
      </c>
      <c r="F198" s="273"/>
      <c r="G198" s="274" t="s">
        <v>159</v>
      </c>
      <c r="H198" s="277">
        <v>27970</v>
      </c>
      <c r="I198" s="276"/>
    </row>
    <row r="199" spans="2:9" x14ac:dyDescent="0.25">
      <c r="B199" s="271">
        <f t="shared" si="2"/>
        <v>193</v>
      </c>
      <c r="C199" s="272" t="s">
        <v>587</v>
      </c>
      <c r="F199" s="273"/>
      <c r="G199" s="274" t="s">
        <v>133</v>
      </c>
      <c r="H199" s="277">
        <f>H198</f>
        <v>27970</v>
      </c>
      <c r="I199" s="276"/>
    </row>
    <row r="200" spans="2:9" x14ac:dyDescent="0.25">
      <c r="B200" s="271">
        <f t="shared" si="2"/>
        <v>194</v>
      </c>
      <c r="C200" s="272" t="s">
        <v>593</v>
      </c>
      <c r="F200" s="273"/>
      <c r="G200" s="274" t="s">
        <v>133</v>
      </c>
      <c r="H200" s="277">
        <f>H198</f>
        <v>27970</v>
      </c>
      <c r="I200" s="276"/>
    </row>
    <row r="201" spans="2:9" x14ac:dyDescent="0.25">
      <c r="B201" s="271">
        <f t="shared" si="2"/>
        <v>195</v>
      </c>
      <c r="C201" s="272" t="s">
        <v>383</v>
      </c>
      <c r="F201" s="273"/>
      <c r="G201" s="274" t="s">
        <v>159</v>
      </c>
      <c r="H201" s="277">
        <f>H198</f>
        <v>27970</v>
      </c>
      <c r="I201" s="276"/>
    </row>
    <row r="202" spans="2:9" x14ac:dyDescent="0.25">
      <c r="B202" s="271">
        <f t="shared" si="2"/>
        <v>196</v>
      </c>
      <c r="C202" s="272" t="s">
        <v>1275</v>
      </c>
      <c r="F202" s="273"/>
      <c r="G202" s="274" t="s">
        <v>159</v>
      </c>
      <c r="H202" s="277">
        <v>27730</v>
      </c>
      <c r="I202" s="276"/>
    </row>
    <row r="203" spans="2:9" x14ac:dyDescent="0.25">
      <c r="B203" s="271">
        <f t="shared" si="2"/>
        <v>197</v>
      </c>
      <c r="C203" s="272" t="s">
        <v>405</v>
      </c>
      <c r="F203" s="273"/>
      <c r="G203" s="274" t="s">
        <v>159</v>
      </c>
      <c r="H203" s="277">
        <v>27500</v>
      </c>
      <c r="I203" s="276"/>
    </row>
    <row r="204" spans="2:9" x14ac:dyDescent="0.25">
      <c r="B204" s="271">
        <f t="shared" si="2"/>
        <v>198</v>
      </c>
      <c r="C204" s="272" t="s">
        <v>1300</v>
      </c>
      <c r="F204" s="273"/>
      <c r="G204" s="274" t="s">
        <v>159</v>
      </c>
      <c r="H204" s="277">
        <v>13860</v>
      </c>
      <c r="I204" s="276"/>
    </row>
    <row r="205" spans="2:9" x14ac:dyDescent="0.25">
      <c r="B205" s="271">
        <f t="shared" si="2"/>
        <v>199</v>
      </c>
      <c r="C205" s="272" t="s">
        <v>1219</v>
      </c>
      <c r="F205" s="273"/>
      <c r="G205" s="274" t="s">
        <v>159</v>
      </c>
      <c r="H205" s="277">
        <v>14760</v>
      </c>
      <c r="I205" s="276"/>
    </row>
    <row r="206" spans="2:9" x14ac:dyDescent="0.25">
      <c r="B206" s="271">
        <f t="shared" si="2"/>
        <v>200</v>
      </c>
      <c r="C206" s="272" t="s">
        <v>788</v>
      </c>
      <c r="D206" s="598"/>
      <c r="E206" s="598"/>
      <c r="F206" s="273"/>
      <c r="G206" s="274" t="s">
        <v>152</v>
      </c>
      <c r="H206" s="277">
        <v>840</v>
      </c>
      <c r="I206" s="276"/>
    </row>
    <row r="207" spans="2:9" x14ac:dyDescent="0.25">
      <c r="B207" s="271">
        <f t="shared" ref="B207:B271" si="3">B206+1</f>
        <v>201</v>
      </c>
      <c r="C207" s="272" t="s">
        <v>1166</v>
      </c>
      <c r="F207" s="273"/>
      <c r="G207" s="274" t="s">
        <v>133</v>
      </c>
      <c r="H207" s="277">
        <v>22140</v>
      </c>
      <c r="I207" s="276"/>
    </row>
    <row r="208" spans="2:9" x14ac:dyDescent="0.25">
      <c r="B208" s="271">
        <f t="shared" si="3"/>
        <v>202</v>
      </c>
      <c r="C208" s="272" t="s">
        <v>460</v>
      </c>
      <c r="F208" s="273"/>
      <c r="G208" s="274" t="s">
        <v>399</v>
      </c>
      <c r="H208" s="277">
        <v>178500</v>
      </c>
      <c r="I208" s="276"/>
    </row>
    <row r="209" spans="2:10" x14ac:dyDescent="0.25">
      <c r="B209" s="271">
        <f t="shared" si="3"/>
        <v>203</v>
      </c>
      <c r="C209" s="272" t="s">
        <v>1088</v>
      </c>
      <c r="F209" s="273"/>
      <c r="G209" s="274" t="s">
        <v>82</v>
      </c>
      <c r="H209" s="277">
        <v>16660</v>
      </c>
      <c r="I209" s="276"/>
    </row>
    <row r="210" spans="2:10" x14ac:dyDescent="0.25">
      <c r="B210" s="271">
        <f t="shared" si="3"/>
        <v>204</v>
      </c>
      <c r="C210" s="272" t="s">
        <v>1091</v>
      </c>
      <c r="F210" s="273"/>
      <c r="G210" s="274" t="s">
        <v>82</v>
      </c>
      <c r="H210" s="277">
        <v>365400</v>
      </c>
      <c r="I210" s="276"/>
    </row>
    <row r="211" spans="2:10" x14ac:dyDescent="0.25">
      <c r="B211" s="271">
        <f t="shared" si="3"/>
        <v>205</v>
      </c>
      <c r="C211" s="272" t="s">
        <v>1919</v>
      </c>
      <c r="F211" s="273"/>
      <c r="G211" s="274" t="s">
        <v>158</v>
      </c>
      <c r="H211" s="277">
        <v>350000</v>
      </c>
      <c r="I211" s="276"/>
    </row>
    <row r="212" spans="2:10" x14ac:dyDescent="0.25">
      <c r="B212" s="271">
        <f t="shared" si="3"/>
        <v>206</v>
      </c>
      <c r="C212" s="272" t="s">
        <v>1918</v>
      </c>
      <c r="F212" s="273"/>
      <c r="G212" s="274" t="s">
        <v>133</v>
      </c>
      <c r="H212" s="277">
        <f>H211/1400</f>
        <v>250</v>
      </c>
      <c r="I212" s="583"/>
      <c r="J212" s="86"/>
    </row>
    <row r="213" spans="2:10" x14ac:dyDescent="0.25">
      <c r="B213" s="271">
        <f>B212+1</f>
        <v>207</v>
      </c>
      <c r="C213" s="272" t="s">
        <v>416</v>
      </c>
      <c r="F213" s="273"/>
      <c r="G213" s="274" t="s">
        <v>158</v>
      </c>
      <c r="H213" s="277">
        <v>253510</v>
      </c>
      <c r="I213" s="276"/>
      <c r="J213" s="86"/>
    </row>
    <row r="214" spans="2:10" x14ac:dyDescent="0.25">
      <c r="B214" s="271">
        <f t="shared" si="3"/>
        <v>208</v>
      </c>
      <c r="C214" s="272" t="s">
        <v>488</v>
      </c>
      <c r="F214" s="273"/>
      <c r="G214" s="274" t="s">
        <v>489</v>
      </c>
      <c r="H214" s="277">
        <v>300990</v>
      </c>
      <c r="I214" s="276"/>
      <c r="J214" s="86"/>
    </row>
    <row r="215" spans="2:10" x14ac:dyDescent="0.25">
      <c r="B215" s="271">
        <f t="shared" si="3"/>
        <v>209</v>
      </c>
      <c r="C215" s="272" t="s">
        <v>1156</v>
      </c>
      <c r="F215" s="273"/>
      <c r="G215" s="274" t="s">
        <v>816</v>
      </c>
      <c r="H215" s="277">
        <v>139700</v>
      </c>
      <c r="I215" s="276"/>
    </row>
    <row r="216" spans="2:10" x14ac:dyDescent="0.25">
      <c r="B216" s="271">
        <f t="shared" si="3"/>
        <v>210</v>
      </c>
      <c r="C216" s="272" t="s">
        <v>1143</v>
      </c>
      <c r="F216" s="273"/>
      <c r="G216" s="274" t="s">
        <v>816</v>
      </c>
      <c r="H216" s="277">
        <v>155250</v>
      </c>
      <c r="I216" s="276"/>
    </row>
    <row r="217" spans="2:10" x14ac:dyDescent="0.25">
      <c r="B217" s="271">
        <f t="shared" si="3"/>
        <v>211</v>
      </c>
      <c r="C217" s="272" t="s">
        <v>1153</v>
      </c>
      <c r="F217" s="273"/>
      <c r="G217" s="274" t="s">
        <v>816</v>
      </c>
      <c r="H217" s="277">
        <v>165100</v>
      </c>
      <c r="I217" s="276"/>
    </row>
    <row r="218" spans="2:10" x14ac:dyDescent="0.25">
      <c r="B218" s="271">
        <f t="shared" si="3"/>
        <v>212</v>
      </c>
      <c r="C218" s="272" t="s">
        <v>1150</v>
      </c>
      <c r="F218" s="273"/>
      <c r="G218" s="274" t="s">
        <v>816</v>
      </c>
      <c r="H218" s="277">
        <v>3900</v>
      </c>
      <c r="I218" s="276"/>
    </row>
    <row r="219" spans="2:10" x14ac:dyDescent="0.25">
      <c r="B219" s="271">
        <f t="shared" si="3"/>
        <v>213</v>
      </c>
      <c r="C219" s="272" t="s">
        <v>1790</v>
      </c>
      <c r="F219" s="273"/>
      <c r="G219" s="274" t="s">
        <v>284</v>
      </c>
      <c r="H219" s="277">
        <v>300000</v>
      </c>
      <c r="I219" s="276"/>
    </row>
    <row r="220" spans="2:10" x14ac:dyDescent="0.25">
      <c r="B220" s="271">
        <f t="shared" si="3"/>
        <v>214</v>
      </c>
      <c r="C220" s="272" t="s">
        <v>747</v>
      </c>
      <c r="F220" s="273"/>
      <c r="G220" s="274" t="s">
        <v>748</v>
      </c>
      <c r="H220" s="277">
        <v>5490</v>
      </c>
      <c r="I220" s="276"/>
    </row>
    <row r="221" spans="2:10" x14ac:dyDescent="0.25">
      <c r="B221" s="271">
        <f t="shared" si="3"/>
        <v>215</v>
      </c>
      <c r="C221" s="272" t="s">
        <v>1470</v>
      </c>
      <c r="F221" s="273"/>
      <c r="G221" s="274" t="s">
        <v>159</v>
      </c>
      <c r="H221" s="277">
        <v>42000</v>
      </c>
      <c r="I221" s="276"/>
    </row>
    <row r="222" spans="2:10" x14ac:dyDescent="0.25">
      <c r="B222" s="271">
        <f t="shared" si="3"/>
        <v>216</v>
      </c>
      <c r="C222" s="272" t="s">
        <v>602</v>
      </c>
      <c r="F222" s="273"/>
      <c r="G222" s="274" t="s">
        <v>603</v>
      </c>
      <c r="H222" s="277">
        <v>25000</v>
      </c>
      <c r="I222" s="276"/>
    </row>
    <row r="223" spans="2:10" x14ac:dyDescent="0.25">
      <c r="B223" s="271">
        <f t="shared" si="3"/>
        <v>217</v>
      </c>
      <c r="C223" s="272" t="s">
        <v>1512</v>
      </c>
      <c r="F223" s="273"/>
      <c r="G223" s="274" t="s">
        <v>158</v>
      </c>
      <c r="H223" s="277">
        <v>1633500</v>
      </c>
      <c r="I223" s="276"/>
    </row>
    <row r="224" spans="2:10" x14ac:dyDescent="0.25">
      <c r="B224" s="271">
        <f t="shared" si="3"/>
        <v>218</v>
      </c>
      <c r="C224" s="272" t="s">
        <v>648</v>
      </c>
      <c r="F224" s="273"/>
      <c r="G224" s="274" t="s">
        <v>399</v>
      </c>
      <c r="H224" s="277">
        <v>255000</v>
      </c>
      <c r="I224" s="276"/>
    </row>
    <row r="225" spans="2:9" x14ac:dyDescent="0.25">
      <c r="B225" s="271">
        <f t="shared" si="3"/>
        <v>219</v>
      </c>
      <c r="C225" s="272" t="s">
        <v>774</v>
      </c>
      <c r="F225" s="273"/>
      <c r="G225" s="274" t="s">
        <v>127</v>
      </c>
      <c r="H225" s="277">
        <v>571500</v>
      </c>
      <c r="I225" s="276"/>
    </row>
    <row r="226" spans="2:9" x14ac:dyDescent="0.25">
      <c r="B226" s="271">
        <f t="shared" si="3"/>
        <v>220</v>
      </c>
      <c r="C226" s="272" t="s">
        <v>751</v>
      </c>
      <c r="F226" s="273"/>
      <c r="G226" s="274" t="s">
        <v>82</v>
      </c>
      <c r="H226" s="277">
        <v>676500</v>
      </c>
      <c r="I226" s="276"/>
    </row>
    <row r="227" spans="2:9" x14ac:dyDescent="0.25">
      <c r="B227" s="271">
        <f t="shared" si="3"/>
        <v>221</v>
      </c>
      <c r="C227" s="272" t="s">
        <v>754</v>
      </c>
      <c r="F227" s="273"/>
      <c r="G227" s="274" t="s">
        <v>82</v>
      </c>
      <c r="H227" s="277">
        <v>630000</v>
      </c>
      <c r="I227" s="276"/>
    </row>
    <row r="228" spans="2:9" hidden="1" x14ac:dyDescent="0.25">
      <c r="B228" s="271">
        <f t="shared" si="3"/>
        <v>222</v>
      </c>
      <c r="C228" s="272" t="s">
        <v>1702</v>
      </c>
      <c r="F228" s="273"/>
      <c r="G228" s="274" t="s">
        <v>127</v>
      </c>
      <c r="H228" s="279"/>
      <c r="I228" s="276"/>
    </row>
    <row r="229" spans="2:9" hidden="1" x14ac:dyDescent="0.25">
      <c r="B229" s="271">
        <f t="shared" si="3"/>
        <v>223</v>
      </c>
      <c r="C229" s="272" t="s">
        <v>1714</v>
      </c>
      <c r="F229" s="273"/>
      <c r="G229" s="274" t="s">
        <v>127</v>
      </c>
      <c r="H229" s="277"/>
      <c r="I229" s="276"/>
    </row>
    <row r="230" spans="2:9" hidden="1" x14ac:dyDescent="0.25">
      <c r="B230" s="271">
        <f t="shared" si="3"/>
        <v>224</v>
      </c>
      <c r="C230" s="272" t="s">
        <v>1715</v>
      </c>
      <c r="F230" s="273"/>
      <c r="G230" s="274" t="s">
        <v>127</v>
      </c>
      <c r="H230" s="277"/>
      <c r="I230" s="276"/>
    </row>
    <row r="231" spans="2:9" hidden="1" x14ac:dyDescent="0.25">
      <c r="B231" s="271">
        <f t="shared" si="3"/>
        <v>225</v>
      </c>
      <c r="C231" s="272" t="s">
        <v>1716</v>
      </c>
      <c r="F231" s="273"/>
      <c r="G231" s="274" t="s">
        <v>127</v>
      </c>
      <c r="H231" s="277"/>
      <c r="I231" s="276"/>
    </row>
    <row r="232" spans="2:9" hidden="1" x14ac:dyDescent="0.25">
      <c r="B232" s="271">
        <f t="shared" si="3"/>
        <v>226</v>
      </c>
      <c r="C232" s="272" t="s">
        <v>1703</v>
      </c>
      <c r="F232" s="273"/>
      <c r="G232" s="274" t="s">
        <v>127</v>
      </c>
      <c r="H232" s="279"/>
      <c r="I232" s="276"/>
    </row>
    <row r="233" spans="2:9" hidden="1" x14ac:dyDescent="0.25">
      <c r="B233" s="271">
        <f t="shared" si="3"/>
        <v>227</v>
      </c>
      <c r="C233" s="272" t="s">
        <v>1704</v>
      </c>
      <c r="F233" s="273"/>
      <c r="G233" s="274" t="s">
        <v>127</v>
      </c>
      <c r="H233" s="279"/>
      <c r="I233" s="276"/>
    </row>
    <row r="234" spans="2:9" hidden="1" x14ac:dyDescent="0.25">
      <c r="B234" s="271">
        <f t="shared" si="3"/>
        <v>228</v>
      </c>
      <c r="C234" s="272" t="s">
        <v>1705</v>
      </c>
      <c r="F234" s="273"/>
      <c r="G234" s="274" t="s">
        <v>127</v>
      </c>
      <c r="H234" s="279"/>
      <c r="I234" s="276"/>
    </row>
    <row r="235" spans="2:9" hidden="1" x14ac:dyDescent="0.25">
      <c r="B235" s="271">
        <f t="shared" si="3"/>
        <v>229</v>
      </c>
      <c r="C235" s="272" t="s">
        <v>1706</v>
      </c>
      <c r="F235" s="273"/>
      <c r="G235" s="274" t="s">
        <v>127</v>
      </c>
      <c r="H235" s="279"/>
      <c r="I235" s="276"/>
    </row>
    <row r="236" spans="2:9" hidden="1" x14ac:dyDescent="0.25">
      <c r="B236" s="271">
        <f t="shared" si="3"/>
        <v>230</v>
      </c>
      <c r="C236" s="272" t="s">
        <v>1707</v>
      </c>
      <c r="F236" s="273"/>
      <c r="G236" s="274" t="s">
        <v>127</v>
      </c>
      <c r="H236" s="279"/>
      <c r="I236" s="276"/>
    </row>
    <row r="237" spans="2:9" hidden="1" x14ac:dyDescent="0.25">
      <c r="B237" s="271">
        <f t="shared" si="3"/>
        <v>231</v>
      </c>
      <c r="C237" s="272" t="s">
        <v>1708</v>
      </c>
      <c r="F237" s="273"/>
      <c r="G237" s="274" t="s">
        <v>127</v>
      </c>
      <c r="H237" s="279"/>
      <c r="I237" s="276"/>
    </row>
    <row r="238" spans="2:9" hidden="1" x14ac:dyDescent="0.25">
      <c r="B238" s="271">
        <f t="shared" si="3"/>
        <v>232</v>
      </c>
      <c r="C238" s="272" t="s">
        <v>1709</v>
      </c>
      <c r="F238" s="273"/>
      <c r="G238" s="274" t="s">
        <v>127</v>
      </c>
      <c r="H238" s="279"/>
      <c r="I238" s="276"/>
    </row>
    <row r="239" spans="2:9" hidden="1" x14ac:dyDescent="0.25">
      <c r="B239" s="271">
        <f t="shared" si="3"/>
        <v>233</v>
      </c>
      <c r="C239" s="272" t="s">
        <v>1710</v>
      </c>
      <c r="F239" s="273"/>
      <c r="G239" s="274" t="s">
        <v>127</v>
      </c>
      <c r="H239" s="279"/>
      <c r="I239" s="276"/>
    </row>
    <row r="240" spans="2:9" hidden="1" x14ac:dyDescent="0.25">
      <c r="B240" s="271">
        <f t="shared" si="3"/>
        <v>234</v>
      </c>
      <c r="C240" s="272" t="s">
        <v>1711</v>
      </c>
      <c r="F240" s="273"/>
      <c r="G240" s="274" t="s">
        <v>127</v>
      </c>
      <c r="H240" s="277"/>
      <c r="I240" s="276"/>
    </row>
    <row r="241" spans="2:10" hidden="1" x14ac:dyDescent="0.25">
      <c r="B241" s="271">
        <f t="shared" si="3"/>
        <v>235</v>
      </c>
      <c r="C241" s="272" t="s">
        <v>1701</v>
      </c>
      <c r="F241" s="273"/>
      <c r="G241" s="274" t="s">
        <v>127</v>
      </c>
      <c r="H241" s="279"/>
      <c r="I241" s="276"/>
    </row>
    <row r="242" spans="2:10" hidden="1" x14ac:dyDescent="0.25">
      <c r="B242" s="271">
        <f t="shared" si="3"/>
        <v>236</v>
      </c>
      <c r="C242" s="272" t="s">
        <v>1712</v>
      </c>
      <c r="F242" s="273"/>
      <c r="G242" s="274" t="s">
        <v>127</v>
      </c>
      <c r="H242" s="277"/>
      <c r="I242" s="276"/>
    </row>
    <row r="243" spans="2:10" hidden="1" x14ac:dyDescent="0.25">
      <c r="B243" s="271">
        <f t="shared" si="3"/>
        <v>237</v>
      </c>
      <c r="C243" s="272" t="s">
        <v>1713</v>
      </c>
      <c r="F243" s="273"/>
      <c r="G243" s="274" t="s">
        <v>127</v>
      </c>
      <c r="H243" s="277"/>
      <c r="I243" s="276"/>
    </row>
    <row r="244" spans="2:10" x14ac:dyDescent="0.25">
      <c r="B244" s="271">
        <f t="shared" si="3"/>
        <v>238</v>
      </c>
      <c r="C244" s="272" t="s">
        <v>1634</v>
      </c>
      <c r="F244" s="273"/>
      <c r="G244" s="274" t="s">
        <v>418</v>
      </c>
      <c r="H244" s="277">
        <v>64900</v>
      </c>
      <c r="I244" s="276"/>
    </row>
    <row r="245" spans="2:10" x14ac:dyDescent="0.25">
      <c r="B245" s="271">
        <f t="shared" si="3"/>
        <v>239</v>
      </c>
      <c r="C245" s="272" t="s">
        <v>1784</v>
      </c>
      <c r="F245" s="273"/>
      <c r="G245" s="274" t="s">
        <v>284</v>
      </c>
      <c r="H245" s="277">
        <v>6140</v>
      </c>
      <c r="I245" s="276"/>
    </row>
    <row r="246" spans="2:10" hidden="1" x14ac:dyDescent="0.25">
      <c r="B246" s="271">
        <f t="shared" si="3"/>
        <v>240</v>
      </c>
      <c r="C246" s="272" t="s">
        <v>1685</v>
      </c>
      <c r="F246" s="273"/>
      <c r="G246" s="274" t="s">
        <v>127</v>
      </c>
      <c r="H246" s="277"/>
      <c r="I246" s="276"/>
      <c r="J246" s="272"/>
    </row>
    <row r="247" spans="2:10" hidden="1" x14ac:dyDescent="0.25">
      <c r="B247" s="271">
        <f t="shared" si="3"/>
        <v>241</v>
      </c>
      <c r="C247" s="272" t="s">
        <v>1698</v>
      </c>
      <c r="F247" s="273"/>
      <c r="G247" s="274" t="s">
        <v>127</v>
      </c>
      <c r="H247" s="277"/>
      <c r="I247" s="276"/>
      <c r="J247" s="272"/>
    </row>
    <row r="248" spans="2:10" hidden="1" x14ac:dyDescent="0.25">
      <c r="B248" s="271">
        <f t="shared" si="3"/>
        <v>242</v>
      </c>
      <c r="C248" s="272" t="s">
        <v>1699</v>
      </c>
      <c r="F248" s="273"/>
      <c r="G248" s="274" t="s">
        <v>127</v>
      </c>
      <c r="H248" s="277"/>
      <c r="I248" s="276"/>
      <c r="J248" s="272"/>
    </row>
    <row r="249" spans="2:10" hidden="1" x14ac:dyDescent="0.25">
      <c r="B249" s="271">
        <f t="shared" si="3"/>
        <v>243</v>
      </c>
      <c r="C249" s="272" t="s">
        <v>1700</v>
      </c>
      <c r="F249" s="273"/>
      <c r="G249" s="274" t="s">
        <v>127</v>
      </c>
      <c r="H249" s="277"/>
      <c r="I249" s="276"/>
      <c r="J249" s="272"/>
    </row>
    <row r="250" spans="2:10" hidden="1" x14ac:dyDescent="0.25">
      <c r="B250" s="271">
        <f t="shared" si="3"/>
        <v>244</v>
      </c>
      <c r="C250" s="272" t="s">
        <v>1686</v>
      </c>
      <c r="F250" s="273"/>
      <c r="G250" s="274" t="s">
        <v>127</v>
      </c>
      <c r="H250" s="277"/>
      <c r="I250" s="276"/>
      <c r="J250" s="272"/>
    </row>
    <row r="251" spans="2:10" hidden="1" x14ac:dyDescent="0.25">
      <c r="B251" s="271">
        <f t="shared" si="3"/>
        <v>245</v>
      </c>
      <c r="C251" s="272" t="s">
        <v>1687</v>
      </c>
      <c r="F251" s="273"/>
      <c r="G251" s="274" t="s">
        <v>127</v>
      </c>
      <c r="H251" s="277"/>
      <c r="I251" s="276"/>
      <c r="J251" s="272"/>
    </row>
    <row r="252" spans="2:10" hidden="1" x14ac:dyDescent="0.25">
      <c r="B252" s="271">
        <f t="shared" si="3"/>
        <v>246</v>
      </c>
      <c r="C252" s="272" t="s">
        <v>1688</v>
      </c>
      <c r="F252" s="273"/>
      <c r="G252" s="274" t="s">
        <v>75</v>
      </c>
      <c r="H252" s="277"/>
      <c r="I252" s="276"/>
      <c r="J252" s="272"/>
    </row>
    <row r="253" spans="2:10" hidden="1" x14ac:dyDescent="0.25">
      <c r="B253" s="271">
        <f t="shared" si="3"/>
        <v>247</v>
      </c>
      <c r="C253" s="272" t="s">
        <v>1689</v>
      </c>
      <c r="F253" s="273"/>
      <c r="G253" s="274" t="s">
        <v>75</v>
      </c>
      <c r="H253" s="277"/>
      <c r="I253" s="276"/>
      <c r="J253" s="272"/>
    </row>
    <row r="254" spans="2:10" hidden="1" x14ac:dyDescent="0.25">
      <c r="B254" s="271">
        <f t="shared" si="3"/>
        <v>248</v>
      </c>
      <c r="C254" s="272" t="s">
        <v>1690</v>
      </c>
      <c r="F254" s="273"/>
      <c r="G254" s="274" t="s">
        <v>127</v>
      </c>
      <c r="H254" s="277"/>
      <c r="I254" s="276"/>
      <c r="J254" s="272"/>
    </row>
    <row r="255" spans="2:10" hidden="1" x14ac:dyDescent="0.25">
      <c r="B255" s="271">
        <f t="shared" si="3"/>
        <v>249</v>
      </c>
      <c r="C255" s="272" t="s">
        <v>1691</v>
      </c>
      <c r="F255" s="273"/>
      <c r="G255" s="274" t="s">
        <v>127</v>
      </c>
      <c r="H255" s="277"/>
      <c r="I255" s="276"/>
      <c r="J255" s="272"/>
    </row>
    <row r="256" spans="2:10" hidden="1" x14ac:dyDescent="0.25">
      <c r="B256" s="271">
        <f t="shared" si="3"/>
        <v>250</v>
      </c>
      <c r="C256" s="272" t="s">
        <v>1693</v>
      </c>
      <c r="F256" s="273"/>
      <c r="G256" s="274" t="s">
        <v>127</v>
      </c>
      <c r="H256" s="277"/>
      <c r="I256" s="276"/>
      <c r="J256" s="272"/>
    </row>
    <row r="257" spans="2:10" hidden="1" x14ac:dyDescent="0.25">
      <c r="B257" s="271">
        <f t="shared" si="3"/>
        <v>251</v>
      </c>
      <c r="C257" s="272" t="s">
        <v>1694</v>
      </c>
      <c r="F257" s="273"/>
      <c r="G257" s="274" t="s">
        <v>127</v>
      </c>
      <c r="H257" s="277"/>
      <c r="I257" s="276"/>
      <c r="J257" s="272"/>
    </row>
    <row r="258" spans="2:10" hidden="1" x14ac:dyDescent="0.25">
      <c r="B258" s="271">
        <f t="shared" si="3"/>
        <v>252</v>
      </c>
      <c r="C258" s="272" t="s">
        <v>1695</v>
      </c>
      <c r="F258" s="273"/>
      <c r="G258" s="274" t="s">
        <v>127</v>
      </c>
      <c r="H258" s="277"/>
      <c r="I258" s="276"/>
      <c r="J258" s="272"/>
    </row>
    <row r="259" spans="2:10" hidden="1" x14ac:dyDescent="0.25">
      <c r="B259" s="271">
        <f t="shared" si="3"/>
        <v>253</v>
      </c>
      <c r="C259" s="272" t="s">
        <v>1696</v>
      </c>
      <c r="F259" s="273"/>
      <c r="G259" s="274" t="s">
        <v>127</v>
      </c>
      <c r="H259" s="277"/>
      <c r="I259" s="276"/>
      <c r="J259" s="272"/>
    </row>
    <row r="260" spans="2:10" hidden="1" x14ac:dyDescent="0.25">
      <c r="B260" s="271">
        <f t="shared" si="3"/>
        <v>254</v>
      </c>
      <c r="C260" s="272" t="s">
        <v>1697</v>
      </c>
      <c r="F260" s="273"/>
      <c r="G260" s="274" t="s">
        <v>127</v>
      </c>
      <c r="H260" s="277"/>
      <c r="I260" s="276"/>
      <c r="J260" s="272"/>
    </row>
    <row r="261" spans="2:10" x14ac:dyDescent="0.25">
      <c r="B261" s="271">
        <f t="shared" si="3"/>
        <v>255</v>
      </c>
      <c r="C261" s="272" t="s">
        <v>1583</v>
      </c>
      <c r="F261" s="273"/>
      <c r="G261" s="274" t="s">
        <v>75</v>
      </c>
      <c r="H261" s="277">
        <v>30000</v>
      </c>
      <c r="I261" s="276"/>
    </row>
    <row r="262" spans="2:10" x14ac:dyDescent="0.25">
      <c r="B262" s="271">
        <f t="shared" si="3"/>
        <v>256</v>
      </c>
      <c r="C262" s="272" t="s">
        <v>1593</v>
      </c>
      <c r="F262" s="273"/>
      <c r="G262" s="274" t="s">
        <v>75</v>
      </c>
      <c r="H262" s="277">
        <v>35000</v>
      </c>
      <c r="I262" s="276"/>
    </row>
    <row r="263" spans="2:10" x14ac:dyDescent="0.25">
      <c r="B263" s="271">
        <f t="shared" si="3"/>
        <v>257</v>
      </c>
      <c r="C263" s="272" t="s">
        <v>1596</v>
      </c>
      <c r="F263" s="273"/>
      <c r="G263" s="274" t="s">
        <v>75</v>
      </c>
      <c r="H263" s="277">
        <v>79350</v>
      </c>
      <c r="I263" s="276"/>
    </row>
    <row r="264" spans="2:10" x14ac:dyDescent="0.25">
      <c r="B264" s="271">
        <f t="shared" si="3"/>
        <v>258</v>
      </c>
      <c r="C264" s="272" t="s">
        <v>1590</v>
      </c>
      <c r="F264" s="273"/>
      <c r="G264" s="274" t="s">
        <v>75</v>
      </c>
      <c r="H264" s="277">
        <v>32000</v>
      </c>
      <c r="I264" s="276"/>
    </row>
    <row r="265" spans="2:10" x14ac:dyDescent="0.25">
      <c r="B265" s="271">
        <f t="shared" si="3"/>
        <v>259</v>
      </c>
      <c r="C265" s="272" t="s">
        <v>1599</v>
      </c>
      <c r="F265" s="273"/>
      <c r="G265" s="274" t="s">
        <v>75</v>
      </c>
      <c r="H265" s="279">
        <v>235750</v>
      </c>
      <c r="I265" s="276"/>
    </row>
    <row r="266" spans="2:10" x14ac:dyDescent="0.25">
      <c r="B266" s="271">
        <f t="shared" si="3"/>
        <v>260</v>
      </c>
      <c r="C266" s="272" t="s">
        <v>1602</v>
      </c>
      <c r="F266" s="273"/>
      <c r="G266" s="274" t="s">
        <v>75</v>
      </c>
      <c r="H266" s="279">
        <v>448500</v>
      </c>
      <c r="I266" s="276"/>
    </row>
    <row r="267" spans="2:10" hidden="1" x14ac:dyDescent="0.25">
      <c r="B267" s="271">
        <f t="shared" si="3"/>
        <v>261</v>
      </c>
      <c r="C267" s="272" t="s">
        <v>1670</v>
      </c>
      <c r="F267" s="273"/>
      <c r="G267" s="274" t="s">
        <v>127</v>
      </c>
      <c r="H267" s="277"/>
      <c r="I267" s="276"/>
    </row>
    <row r="268" spans="2:10" hidden="1" x14ac:dyDescent="0.25">
      <c r="B268" s="271">
        <f t="shared" si="3"/>
        <v>262</v>
      </c>
      <c r="C268" s="272" t="s">
        <v>1682</v>
      </c>
      <c r="F268" s="273"/>
      <c r="G268" s="274" t="s">
        <v>127</v>
      </c>
      <c r="H268" s="277"/>
      <c r="I268" s="276"/>
    </row>
    <row r="269" spans="2:10" hidden="1" x14ac:dyDescent="0.25">
      <c r="B269" s="271">
        <f t="shared" si="3"/>
        <v>263</v>
      </c>
      <c r="C269" s="272" t="s">
        <v>1683</v>
      </c>
      <c r="F269" s="273"/>
      <c r="G269" s="274" t="s">
        <v>127</v>
      </c>
      <c r="H269" s="277"/>
      <c r="I269" s="276"/>
    </row>
    <row r="270" spans="2:10" hidden="1" x14ac:dyDescent="0.25">
      <c r="B270" s="271">
        <f t="shared" si="3"/>
        <v>264</v>
      </c>
      <c r="C270" s="272" t="s">
        <v>1684</v>
      </c>
      <c r="F270" s="273"/>
      <c r="G270" s="274" t="s">
        <v>127</v>
      </c>
      <c r="H270" s="277"/>
      <c r="I270" s="276"/>
    </row>
    <row r="271" spans="2:10" hidden="1" x14ac:dyDescent="0.25">
      <c r="B271" s="271">
        <f t="shared" si="3"/>
        <v>265</v>
      </c>
      <c r="C271" s="272" t="s">
        <v>1671</v>
      </c>
      <c r="F271" s="273"/>
      <c r="G271" s="274" t="s">
        <v>127</v>
      </c>
      <c r="H271" s="277"/>
      <c r="I271" s="276"/>
    </row>
    <row r="272" spans="2:10" hidden="1" x14ac:dyDescent="0.25">
      <c r="B272" s="271">
        <f t="shared" ref="B272:B335" si="4">B271+1</f>
        <v>266</v>
      </c>
      <c r="C272" s="272" t="s">
        <v>1672</v>
      </c>
      <c r="F272" s="273"/>
      <c r="G272" s="274" t="s">
        <v>127</v>
      </c>
      <c r="H272" s="277"/>
      <c r="I272" s="276"/>
    </row>
    <row r="273" spans="2:9" hidden="1" x14ac:dyDescent="0.25">
      <c r="B273" s="271">
        <f t="shared" si="4"/>
        <v>267</v>
      </c>
      <c r="C273" s="272" t="s">
        <v>1673</v>
      </c>
      <c r="F273" s="273"/>
      <c r="G273" s="274" t="s">
        <v>127</v>
      </c>
      <c r="H273" s="277"/>
      <c r="I273" s="276"/>
    </row>
    <row r="274" spans="2:9" hidden="1" x14ac:dyDescent="0.25">
      <c r="B274" s="271">
        <f t="shared" si="4"/>
        <v>268</v>
      </c>
      <c r="C274" s="272" t="s">
        <v>1674</v>
      </c>
      <c r="F274" s="273"/>
      <c r="G274" s="274" t="s">
        <v>127</v>
      </c>
      <c r="H274" s="277"/>
      <c r="I274" s="276"/>
    </row>
    <row r="275" spans="2:9" hidden="1" x14ac:dyDescent="0.25">
      <c r="B275" s="271">
        <f t="shared" si="4"/>
        <v>269</v>
      </c>
      <c r="C275" s="272" t="s">
        <v>1675</v>
      </c>
      <c r="F275" s="273"/>
      <c r="G275" s="274" t="s">
        <v>127</v>
      </c>
      <c r="H275" s="277"/>
      <c r="I275" s="276"/>
    </row>
    <row r="276" spans="2:9" hidden="1" x14ac:dyDescent="0.25">
      <c r="B276" s="271">
        <f t="shared" si="4"/>
        <v>270</v>
      </c>
      <c r="C276" s="272" t="s">
        <v>1676</v>
      </c>
      <c r="F276" s="273"/>
      <c r="G276" s="274" t="s">
        <v>127</v>
      </c>
      <c r="H276" s="277"/>
      <c r="I276" s="276"/>
    </row>
    <row r="277" spans="2:9" hidden="1" x14ac:dyDescent="0.25">
      <c r="B277" s="271">
        <f t="shared" si="4"/>
        <v>271</v>
      </c>
      <c r="C277" s="272" t="s">
        <v>1677</v>
      </c>
      <c r="F277" s="273"/>
      <c r="G277" s="274" t="s">
        <v>127</v>
      </c>
      <c r="H277" s="277"/>
      <c r="I277" s="276"/>
    </row>
    <row r="278" spans="2:9" hidden="1" x14ac:dyDescent="0.25">
      <c r="B278" s="271">
        <f t="shared" si="4"/>
        <v>272</v>
      </c>
      <c r="C278" s="272" t="s">
        <v>1678</v>
      </c>
      <c r="F278" s="273"/>
      <c r="G278" s="274" t="s">
        <v>127</v>
      </c>
      <c r="H278" s="277"/>
      <c r="I278" s="276"/>
    </row>
    <row r="279" spans="2:9" hidden="1" x14ac:dyDescent="0.25">
      <c r="B279" s="271">
        <f t="shared" si="4"/>
        <v>273</v>
      </c>
      <c r="C279" s="272" t="s">
        <v>1679</v>
      </c>
      <c r="F279" s="273"/>
      <c r="G279" s="274" t="s">
        <v>127</v>
      </c>
      <c r="H279" s="277"/>
      <c r="I279" s="276"/>
    </row>
    <row r="280" spans="2:9" hidden="1" x14ac:dyDescent="0.25">
      <c r="B280" s="271">
        <f t="shared" si="4"/>
        <v>274</v>
      </c>
      <c r="C280" s="272" t="s">
        <v>1669</v>
      </c>
      <c r="F280" s="273"/>
      <c r="G280" s="274" t="s">
        <v>127</v>
      </c>
      <c r="H280" s="277"/>
      <c r="I280" s="276"/>
    </row>
    <row r="281" spans="2:9" hidden="1" x14ac:dyDescent="0.25">
      <c r="B281" s="271">
        <f t="shared" si="4"/>
        <v>275</v>
      </c>
      <c r="C281" s="272" t="s">
        <v>1680</v>
      </c>
      <c r="F281" s="273"/>
      <c r="G281" s="274" t="s">
        <v>127</v>
      </c>
      <c r="H281" s="277"/>
      <c r="I281" s="276"/>
    </row>
    <row r="282" spans="2:9" hidden="1" x14ac:dyDescent="0.25">
      <c r="B282" s="271">
        <f t="shared" si="4"/>
        <v>276</v>
      </c>
      <c r="C282" s="272" t="s">
        <v>1681</v>
      </c>
      <c r="F282" s="273"/>
      <c r="G282" s="274" t="s">
        <v>127</v>
      </c>
      <c r="H282" s="277"/>
      <c r="I282" s="276"/>
    </row>
    <row r="283" spans="2:9" hidden="1" x14ac:dyDescent="0.25">
      <c r="B283" s="271">
        <f t="shared" si="4"/>
        <v>277</v>
      </c>
      <c r="C283" s="272" t="s">
        <v>1655</v>
      </c>
      <c r="F283" s="273"/>
      <c r="G283" s="274" t="s">
        <v>127</v>
      </c>
      <c r="H283" s="277"/>
      <c r="I283" s="276"/>
    </row>
    <row r="284" spans="2:9" hidden="1" x14ac:dyDescent="0.25">
      <c r="B284" s="271">
        <f t="shared" si="4"/>
        <v>278</v>
      </c>
      <c r="C284" s="272" t="s">
        <v>1721</v>
      </c>
      <c r="F284" s="273"/>
      <c r="G284" s="274" t="s">
        <v>130</v>
      </c>
      <c r="H284" s="277"/>
      <c r="I284" s="276"/>
    </row>
    <row r="285" spans="2:9" hidden="1" x14ac:dyDescent="0.25">
      <c r="B285" s="271">
        <f t="shared" si="4"/>
        <v>279</v>
      </c>
      <c r="C285" s="272" t="s">
        <v>1666</v>
      </c>
      <c r="F285" s="273"/>
      <c r="G285" s="274" t="s">
        <v>127</v>
      </c>
      <c r="H285" s="277"/>
      <c r="I285" s="276"/>
    </row>
    <row r="286" spans="2:9" hidden="1" x14ac:dyDescent="0.25">
      <c r="B286" s="271">
        <f t="shared" si="4"/>
        <v>280</v>
      </c>
      <c r="C286" s="272" t="s">
        <v>1722</v>
      </c>
      <c r="F286" s="273"/>
      <c r="G286" s="274" t="s">
        <v>130</v>
      </c>
      <c r="H286" s="277"/>
      <c r="I286" s="276"/>
    </row>
    <row r="287" spans="2:9" hidden="1" x14ac:dyDescent="0.25">
      <c r="B287" s="271">
        <f t="shared" si="4"/>
        <v>281</v>
      </c>
      <c r="C287" s="272" t="s">
        <v>1667</v>
      </c>
      <c r="F287" s="273"/>
      <c r="G287" s="274" t="s">
        <v>127</v>
      </c>
      <c r="H287" s="277"/>
      <c r="I287" s="276"/>
    </row>
    <row r="288" spans="2:9" hidden="1" x14ac:dyDescent="0.25">
      <c r="B288" s="271">
        <f t="shared" si="4"/>
        <v>282</v>
      </c>
      <c r="C288" s="272" t="s">
        <v>1668</v>
      </c>
      <c r="F288" s="273"/>
      <c r="G288" s="274" t="s">
        <v>127</v>
      </c>
      <c r="H288" s="277"/>
      <c r="I288" s="276"/>
    </row>
    <row r="289" spans="2:12" hidden="1" x14ac:dyDescent="0.25">
      <c r="B289" s="271">
        <f t="shared" si="4"/>
        <v>283</v>
      </c>
      <c r="C289" s="272" t="s">
        <v>1656</v>
      </c>
      <c r="F289" s="273"/>
      <c r="G289" s="274" t="s">
        <v>127</v>
      </c>
      <c r="H289" s="280"/>
      <c r="I289" s="276"/>
      <c r="L289" s="281"/>
    </row>
    <row r="290" spans="2:12" ht="16.5" hidden="1" x14ac:dyDescent="0.35">
      <c r="B290" s="271">
        <f t="shared" si="4"/>
        <v>284</v>
      </c>
      <c r="C290" s="272" t="s">
        <v>1657</v>
      </c>
      <c r="F290" s="273"/>
      <c r="G290" s="274" t="s">
        <v>127</v>
      </c>
      <c r="H290" s="278"/>
      <c r="I290" s="276"/>
      <c r="L290" s="282"/>
    </row>
    <row r="291" spans="2:12" hidden="1" x14ac:dyDescent="0.25">
      <c r="B291" s="271">
        <f t="shared" si="4"/>
        <v>285</v>
      </c>
      <c r="C291" s="272" t="s">
        <v>1658</v>
      </c>
      <c r="F291" s="273"/>
      <c r="G291" s="274" t="s">
        <v>127</v>
      </c>
      <c r="H291" s="278"/>
      <c r="I291" s="276"/>
      <c r="L291" s="281"/>
    </row>
    <row r="292" spans="2:12" ht="16.5" hidden="1" x14ac:dyDescent="0.35">
      <c r="B292" s="271">
        <f t="shared" si="4"/>
        <v>286</v>
      </c>
      <c r="C292" s="272" t="s">
        <v>1659</v>
      </c>
      <c r="F292" s="273"/>
      <c r="G292" s="274" t="s">
        <v>127</v>
      </c>
      <c r="H292" s="278"/>
      <c r="I292" s="276"/>
      <c r="L292" s="282"/>
    </row>
    <row r="293" spans="2:12" hidden="1" x14ac:dyDescent="0.25">
      <c r="B293" s="271">
        <f t="shared" si="4"/>
        <v>287</v>
      </c>
      <c r="C293" s="272" t="s">
        <v>1660</v>
      </c>
      <c r="F293" s="273"/>
      <c r="G293" s="274" t="s">
        <v>127</v>
      </c>
      <c r="H293" s="278"/>
      <c r="I293" s="276"/>
      <c r="L293" s="281"/>
    </row>
    <row r="294" spans="2:12" ht="16.5" hidden="1" x14ac:dyDescent="0.35">
      <c r="B294" s="271">
        <f t="shared" si="4"/>
        <v>288</v>
      </c>
      <c r="C294" s="272" t="s">
        <v>1661</v>
      </c>
      <c r="F294" s="273"/>
      <c r="G294" s="274" t="s">
        <v>127</v>
      </c>
      <c r="H294" s="278"/>
      <c r="I294" s="276"/>
      <c r="L294" s="282"/>
    </row>
    <row r="295" spans="2:12" ht="16.5" hidden="1" x14ac:dyDescent="0.35">
      <c r="B295" s="271">
        <f t="shared" si="4"/>
        <v>289</v>
      </c>
      <c r="C295" s="272" t="s">
        <v>1662</v>
      </c>
      <c r="F295" s="273"/>
      <c r="G295" s="274" t="s">
        <v>127</v>
      </c>
      <c r="H295" s="280"/>
      <c r="I295" s="276"/>
      <c r="L295" s="282"/>
    </row>
    <row r="296" spans="2:12" ht="16.5" hidden="1" x14ac:dyDescent="0.35">
      <c r="B296" s="271">
        <f t="shared" si="4"/>
        <v>290</v>
      </c>
      <c r="C296" s="272" t="s">
        <v>1663</v>
      </c>
      <c r="F296" s="273"/>
      <c r="G296" s="274" t="s">
        <v>127</v>
      </c>
      <c r="H296" s="280"/>
      <c r="I296" s="276"/>
      <c r="L296" s="282"/>
    </row>
    <row r="297" spans="2:12" ht="16.5" hidden="1" x14ac:dyDescent="0.35">
      <c r="B297" s="271">
        <f t="shared" si="4"/>
        <v>291</v>
      </c>
      <c r="C297" s="272" t="s">
        <v>1720</v>
      </c>
      <c r="F297" s="273"/>
      <c r="G297" s="274" t="s">
        <v>127</v>
      </c>
      <c r="H297" s="280"/>
      <c r="I297" s="276"/>
      <c r="L297" s="282"/>
    </row>
    <row r="298" spans="2:12" hidden="1" x14ac:dyDescent="0.25">
      <c r="B298" s="271">
        <f t="shared" si="4"/>
        <v>292</v>
      </c>
      <c r="C298" s="272" t="s">
        <v>1654</v>
      </c>
      <c r="F298" s="273"/>
      <c r="G298" s="274" t="s">
        <v>127</v>
      </c>
      <c r="H298" s="277"/>
      <c r="I298" s="276"/>
      <c r="L298" s="281"/>
    </row>
    <row r="299" spans="2:12" hidden="1" x14ac:dyDescent="0.25">
      <c r="B299" s="271">
        <f t="shared" si="4"/>
        <v>293</v>
      </c>
      <c r="C299" s="272" t="s">
        <v>1664</v>
      </c>
      <c r="F299" s="273"/>
      <c r="G299" s="274" t="s">
        <v>127</v>
      </c>
      <c r="H299" s="280"/>
      <c r="I299" s="276"/>
      <c r="L299" s="281"/>
    </row>
    <row r="300" spans="2:12" hidden="1" x14ac:dyDescent="0.25">
      <c r="B300" s="271">
        <f t="shared" si="4"/>
        <v>294</v>
      </c>
      <c r="C300" s="272" t="s">
        <v>1665</v>
      </c>
      <c r="F300" s="273"/>
      <c r="G300" s="274" t="s">
        <v>127</v>
      </c>
      <c r="H300" s="280"/>
      <c r="I300" s="276"/>
      <c r="L300" s="281"/>
    </row>
    <row r="301" spans="2:12" x14ac:dyDescent="0.25">
      <c r="B301" s="271">
        <f>B300+1</f>
        <v>295</v>
      </c>
      <c r="C301" s="272" t="s">
        <v>1774</v>
      </c>
      <c r="F301" s="273"/>
      <c r="G301" s="274" t="s">
        <v>1775</v>
      </c>
      <c r="H301" s="277">
        <v>15380</v>
      </c>
      <c r="I301" s="276"/>
      <c r="L301" s="281"/>
    </row>
    <row r="302" spans="2:12" hidden="1" x14ac:dyDescent="0.25">
      <c r="B302" s="271">
        <f t="shared" si="4"/>
        <v>296</v>
      </c>
      <c r="C302" s="272" t="s">
        <v>1756</v>
      </c>
      <c r="F302" s="273"/>
      <c r="G302" s="274" t="s">
        <v>130</v>
      </c>
      <c r="H302" s="277"/>
      <c r="I302" s="276"/>
      <c r="L302" s="281"/>
    </row>
    <row r="303" spans="2:12" hidden="1" x14ac:dyDescent="0.25">
      <c r="B303" s="271">
        <f t="shared" si="4"/>
        <v>297</v>
      </c>
      <c r="C303" s="272" t="s">
        <v>1757</v>
      </c>
      <c r="F303" s="273"/>
      <c r="G303" s="274" t="s">
        <v>130</v>
      </c>
      <c r="H303" s="277"/>
      <c r="I303" s="276"/>
      <c r="L303" s="281"/>
    </row>
    <row r="304" spans="2:12" hidden="1" x14ac:dyDescent="0.25">
      <c r="B304" s="271">
        <f t="shared" si="4"/>
        <v>298</v>
      </c>
      <c r="C304" s="272" t="s">
        <v>1758</v>
      </c>
      <c r="F304" s="273"/>
      <c r="G304" s="274" t="s">
        <v>130</v>
      </c>
      <c r="H304" s="277"/>
      <c r="I304" s="276"/>
      <c r="L304" s="281"/>
    </row>
    <row r="305" spans="2:9" hidden="1" x14ac:dyDescent="0.25">
      <c r="B305" s="271">
        <f t="shared" si="4"/>
        <v>299</v>
      </c>
      <c r="C305" s="272" t="s">
        <v>1759</v>
      </c>
      <c r="F305" s="273"/>
      <c r="G305" s="274" t="s">
        <v>130</v>
      </c>
      <c r="H305" s="277"/>
      <c r="I305" s="276"/>
    </row>
    <row r="306" spans="2:9" hidden="1" x14ac:dyDescent="0.25">
      <c r="B306" s="271">
        <f t="shared" si="4"/>
        <v>300</v>
      </c>
      <c r="C306" s="272" t="s">
        <v>1760</v>
      </c>
      <c r="F306" s="273"/>
      <c r="G306" s="274" t="s">
        <v>130</v>
      </c>
      <c r="H306" s="277"/>
      <c r="I306" s="276"/>
    </row>
    <row r="307" spans="2:9" hidden="1" x14ac:dyDescent="0.25">
      <c r="B307" s="271">
        <f t="shared" si="4"/>
        <v>301</v>
      </c>
      <c r="C307" s="272" t="s">
        <v>1761</v>
      </c>
      <c r="F307" s="273"/>
      <c r="G307" s="274" t="s">
        <v>130</v>
      </c>
      <c r="H307" s="277"/>
      <c r="I307" s="276"/>
    </row>
    <row r="308" spans="2:9" hidden="1" x14ac:dyDescent="0.25">
      <c r="B308" s="271">
        <f t="shared" si="4"/>
        <v>302</v>
      </c>
      <c r="C308" s="272" t="s">
        <v>1762</v>
      </c>
      <c r="F308" s="273"/>
      <c r="G308" s="274" t="s">
        <v>130</v>
      </c>
      <c r="H308" s="277"/>
      <c r="I308" s="276"/>
    </row>
    <row r="309" spans="2:9" hidden="1" x14ac:dyDescent="0.25">
      <c r="B309" s="271">
        <f t="shared" si="4"/>
        <v>303</v>
      </c>
      <c r="C309" s="272" t="s">
        <v>1763</v>
      </c>
      <c r="F309" s="273"/>
      <c r="G309" s="274" t="s">
        <v>130</v>
      </c>
      <c r="H309" s="277"/>
      <c r="I309" s="276"/>
    </row>
    <row r="310" spans="2:9" hidden="1" x14ac:dyDescent="0.25">
      <c r="B310" s="271">
        <f t="shared" si="4"/>
        <v>304</v>
      </c>
      <c r="C310" s="272" t="s">
        <v>1764</v>
      </c>
      <c r="F310" s="273"/>
      <c r="G310" s="274" t="s">
        <v>130</v>
      </c>
      <c r="H310" s="277"/>
      <c r="I310" s="276"/>
    </row>
    <row r="311" spans="2:9" hidden="1" x14ac:dyDescent="0.25">
      <c r="B311" s="271">
        <f t="shared" si="4"/>
        <v>305</v>
      </c>
      <c r="C311" s="272" t="s">
        <v>1765</v>
      </c>
      <c r="F311" s="273"/>
      <c r="G311" s="274" t="s">
        <v>130</v>
      </c>
      <c r="H311" s="277"/>
      <c r="I311" s="276"/>
    </row>
    <row r="312" spans="2:9" hidden="1" x14ac:dyDescent="0.25">
      <c r="B312" s="271">
        <f t="shared" si="4"/>
        <v>306</v>
      </c>
      <c r="C312" s="272" t="s">
        <v>1753</v>
      </c>
      <c r="F312" s="273"/>
      <c r="G312" s="274" t="s">
        <v>130</v>
      </c>
      <c r="H312" s="277"/>
      <c r="I312" s="276"/>
    </row>
    <row r="313" spans="2:9" hidden="1" x14ac:dyDescent="0.25">
      <c r="B313" s="271">
        <f t="shared" si="4"/>
        <v>307</v>
      </c>
      <c r="C313" s="272" t="s">
        <v>1766</v>
      </c>
      <c r="F313" s="273"/>
      <c r="G313" s="274" t="s">
        <v>130</v>
      </c>
      <c r="H313" s="277"/>
      <c r="I313" s="276"/>
    </row>
    <row r="314" spans="2:9" x14ac:dyDescent="0.25">
      <c r="B314" s="271">
        <f t="shared" si="4"/>
        <v>308</v>
      </c>
      <c r="C314" s="272" t="s">
        <v>1605</v>
      </c>
      <c r="F314" s="273"/>
      <c r="G314" s="274" t="s">
        <v>75</v>
      </c>
      <c r="H314" s="277">
        <v>6300</v>
      </c>
      <c r="I314" s="276"/>
    </row>
    <row r="315" spans="2:9" x14ac:dyDescent="0.25">
      <c r="B315" s="271">
        <f t="shared" si="4"/>
        <v>309</v>
      </c>
      <c r="C315" s="272" t="s">
        <v>1611</v>
      </c>
      <c r="F315" s="273"/>
      <c r="G315" s="274" t="s">
        <v>75</v>
      </c>
      <c r="H315" s="277">
        <v>11200</v>
      </c>
      <c r="I315" s="276"/>
    </row>
    <row r="316" spans="2:9" x14ac:dyDescent="0.25">
      <c r="B316" s="271">
        <f t="shared" si="4"/>
        <v>310</v>
      </c>
      <c r="C316" s="272" t="s">
        <v>1614</v>
      </c>
      <c r="F316" s="273"/>
      <c r="G316" s="274" t="s">
        <v>75</v>
      </c>
      <c r="H316" s="277">
        <v>19500</v>
      </c>
      <c r="I316" s="276"/>
    </row>
    <row r="317" spans="2:9" x14ac:dyDescent="0.25">
      <c r="B317" s="271">
        <f t="shared" si="4"/>
        <v>311</v>
      </c>
      <c r="C317" s="272" t="s">
        <v>1617</v>
      </c>
      <c r="F317" s="273"/>
      <c r="G317" s="274" t="s">
        <v>75</v>
      </c>
      <c r="H317" s="277">
        <v>25000</v>
      </c>
      <c r="I317" s="276"/>
    </row>
    <row r="318" spans="2:9" x14ac:dyDescent="0.25">
      <c r="B318" s="271">
        <f t="shared" si="4"/>
        <v>312</v>
      </c>
      <c r="C318" s="272" t="s">
        <v>1620</v>
      </c>
      <c r="F318" s="273"/>
      <c r="G318" s="274" t="s">
        <v>75</v>
      </c>
      <c r="H318" s="277">
        <v>36500</v>
      </c>
      <c r="I318" s="276"/>
    </row>
    <row r="319" spans="2:9" x14ac:dyDescent="0.25">
      <c r="B319" s="271">
        <f t="shared" si="4"/>
        <v>313</v>
      </c>
      <c r="C319" s="272" t="s">
        <v>1608</v>
      </c>
      <c r="F319" s="273"/>
      <c r="G319" s="274" t="s">
        <v>75</v>
      </c>
      <c r="H319" s="277">
        <v>8300</v>
      </c>
      <c r="I319" s="276"/>
    </row>
    <row r="320" spans="2:9" x14ac:dyDescent="0.25">
      <c r="B320" s="271">
        <f t="shared" si="4"/>
        <v>314</v>
      </c>
      <c r="C320" s="272" t="s">
        <v>1623</v>
      </c>
      <c r="F320" s="273"/>
      <c r="G320" s="274" t="s">
        <v>75</v>
      </c>
      <c r="H320" s="277">
        <v>50000</v>
      </c>
      <c r="I320" s="276"/>
    </row>
    <row r="321" spans="2:12" x14ac:dyDescent="0.25">
      <c r="B321" s="271">
        <f t="shared" si="4"/>
        <v>315</v>
      </c>
      <c r="C321" s="272" t="s">
        <v>1626</v>
      </c>
      <c r="F321" s="273"/>
      <c r="G321" s="274" t="s">
        <v>75</v>
      </c>
      <c r="H321" s="277">
        <v>66000</v>
      </c>
      <c r="I321" s="276"/>
    </row>
    <row r="322" spans="2:12" hidden="1" x14ac:dyDescent="0.25">
      <c r="B322" s="271">
        <f t="shared" si="4"/>
        <v>316</v>
      </c>
      <c r="C322" s="272" t="s">
        <v>1651</v>
      </c>
      <c r="F322" s="273"/>
      <c r="G322" s="274" t="s">
        <v>127</v>
      </c>
      <c r="H322" s="277"/>
      <c r="I322" s="276"/>
      <c r="K322" s="283"/>
      <c r="L322" s="284"/>
    </row>
    <row r="323" spans="2:12" hidden="1" x14ac:dyDescent="0.25">
      <c r="B323" s="271">
        <f t="shared" si="4"/>
        <v>317</v>
      </c>
      <c r="C323" s="272" t="s">
        <v>1640</v>
      </c>
      <c r="F323" s="273"/>
      <c r="G323" s="274" t="s">
        <v>127</v>
      </c>
      <c r="H323" s="277"/>
      <c r="I323" s="276"/>
      <c r="K323" s="283"/>
      <c r="L323" s="284"/>
    </row>
    <row r="324" spans="2:12" hidden="1" x14ac:dyDescent="0.25">
      <c r="B324" s="271">
        <f t="shared" si="4"/>
        <v>318</v>
      </c>
      <c r="C324" s="272" t="s">
        <v>1652</v>
      </c>
      <c r="F324" s="273"/>
      <c r="G324" s="274" t="s">
        <v>127</v>
      </c>
      <c r="H324" s="277"/>
      <c r="I324" s="276"/>
      <c r="K324" s="283"/>
      <c r="L324" s="284"/>
    </row>
    <row r="325" spans="2:12" hidden="1" x14ac:dyDescent="0.25">
      <c r="B325" s="271">
        <f t="shared" si="4"/>
        <v>319</v>
      </c>
      <c r="C325" s="272" t="s">
        <v>1653</v>
      </c>
      <c r="F325" s="273"/>
      <c r="G325" s="274" t="s">
        <v>127</v>
      </c>
      <c r="H325" s="277"/>
      <c r="I325" s="276"/>
      <c r="K325" s="283"/>
      <c r="L325" s="284"/>
    </row>
    <row r="326" spans="2:12" hidden="1" x14ac:dyDescent="0.25">
      <c r="B326" s="271">
        <f t="shared" si="4"/>
        <v>320</v>
      </c>
      <c r="C326" s="272" t="s">
        <v>1641</v>
      </c>
      <c r="F326" s="273"/>
      <c r="G326" s="274" t="s">
        <v>127</v>
      </c>
      <c r="H326" s="277"/>
      <c r="I326" s="276"/>
      <c r="K326" s="283"/>
      <c r="L326" s="284"/>
    </row>
    <row r="327" spans="2:12" hidden="1" x14ac:dyDescent="0.25">
      <c r="B327" s="271">
        <f t="shared" si="4"/>
        <v>321</v>
      </c>
      <c r="C327" s="272" t="s">
        <v>1642</v>
      </c>
      <c r="F327" s="273"/>
      <c r="G327" s="274" t="s">
        <v>127</v>
      </c>
      <c r="H327" s="277"/>
      <c r="I327" s="276"/>
      <c r="K327" s="283"/>
      <c r="L327" s="284"/>
    </row>
    <row r="328" spans="2:12" hidden="1" x14ac:dyDescent="0.25">
      <c r="B328" s="271">
        <f t="shared" si="4"/>
        <v>322</v>
      </c>
      <c r="C328" s="272" t="s">
        <v>1643</v>
      </c>
      <c r="F328" s="273"/>
      <c r="G328" s="274" t="s">
        <v>127</v>
      </c>
      <c r="H328" s="277"/>
      <c r="I328" s="276"/>
      <c r="K328" s="283"/>
      <c r="L328" s="284"/>
    </row>
    <row r="329" spans="2:12" hidden="1" x14ac:dyDescent="0.25">
      <c r="B329" s="271">
        <f t="shared" si="4"/>
        <v>323</v>
      </c>
      <c r="C329" s="272" t="s">
        <v>1644</v>
      </c>
      <c r="F329" s="273"/>
      <c r="G329" s="274" t="s">
        <v>127</v>
      </c>
      <c r="H329" s="277"/>
      <c r="I329" s="276"/>
      <c r="K329" s="283"/>
      <c r="L329" s="284"/>
    </row>
    <row r="330" spans="2:12" hidden="1" x14ac:dyDescent="0.25">
      <c r="B330" s="271">
        <f t="shared" si="4"/>
        <v>324</v>
      </c>
      <c r="C330" s="272" t="s">
        <v>1645</v>
      </c>
      <c r="F330" s="273"/>
      <c r="G330" s="274" t="s">
        <v>127</v>
      </c>
      <c r="H330" s="277"/>
      <c r="I330" s="276"/>
      <c r="K330" s="283"/>
      <c r="L330" s="284"/>
    </row>
    <row r="331" spans="2:12" hidden="1" x14ac:dyDescent="0.25">
      <c r="B331" s="271">
        <f t="shared" si="4"/>
        <v>325</v>
      </c>
      <c r="C331" s="272" t="s">
        <v>1646</v>
      </c>
      <c r="F331" s="273"/>
      <c r="G331" s="274" t="s">
        <v>127</v>
      </c>
      <c r="H331" s="277"/>
      <c r="I331" s="276"/>
      <c r="K331" s="283"/>
      <c r="L331" s="284"/>
    </row>
    <row r="332" spans="2:12" hidden="1" x14ac:dyDescent="0.25">
      <c r="B332" s="271">
        <f t="shared" si="4"/>
        <v>326</v>
      </c>
      <c r="C332" s="272" t="s">
        <v>1647</v>
      </c>
      <c r="F332" s="273"/>
      <c r="G332" s="274" t="s">
        <v>127</v>
      </c>
      <c r="H332" s="277"/>
      <c r="I332" s="276"/>
      <c r="K332" s="283"/>
      <c r="L332" s="284"/>
    </row>
    <row r="333" spans="2:12" hidden="1" x14ac:dyDescent="0.25">
      <c r="B333" s="271">
        <f t="shared" si="4"/>
        <v>327</v>
      </c>
      <c r="C333" s="272" t="s">
        <v>1648</v>
      </c>
      <c r="F333" s="273"/>
      <c r="G333" s="274" t="s">
        <v>127</v>
      </c>
      <c r="H333" s="277"/>
      <c r="I333" s="276"/>
      <c r="K333" s="283"/>
      <c r="L333" s="284"/>
    </row>
    <row r="334" spans="2:12" hidden="1" x14ac:dyDescent="0.25">
      <c r="B334" s="271">
        <f t="shared" si="4"/>
        <v>328</v>
      </c>
      <c r="C334" s="272" t="s">
        <v>1637</v>
      </c>
      <c r="F334" s="273"/>
      <c r="G334" s="274" t="s">
        <v>127</v>
      </c>
      <c r="H334" s="277"/>
      <c r="I334" s="276"/>
      <c r="K334" s="283"/>
      <c r="L334" s="284"/>
    </row>
    <row r="335" spans="2:12" hidden="1" x14ac:dyDescent="0.25">
      <c r="B335" s="271">
        <f t="shared" si="4"/>
        <v>329</v>
      </c>
      <c r="C335" s="272" t="s">
        <v>1649</v>
      </c>
      <c r="F335" s="273"/>
      <c r="G335" s="274" t="s">
        <v>127</v>
      </c>
      <c r="H335" s="277"/>
      <c r="I335" s="276"/>
      <c r="K335" s="285"/>
      <c r="L335" s="284"/>
    </row>
    <row r="336" spans="2:12" hidden="1" x14ac:dyDescent="0.25">
      <c r="B336" s="271">
        <f t="shared" ref="B336:B400" si="5">B335+1</f>
        <v>330</v>
      </c>
      <c r="C336" s="272" t="s">
        <v>1639</v>
      </c>
      <c r="F336" s="273"/>
      <c r="G336" s="274" t="s">
        <v>127</v>
      </c>
      <c r="H336" s="277"/>
      <c r="I336" s="276"/>
      <c r="L336" s="284"/>
    </row>
    <row r="337" spans="2:12" hidden="1" x14ac:dyDescent="0.25">
      <c r="B337" s="271">
        <f t="shared" si="5"/>
        <v>331</v>
      </c>
      <c r="C337" s="272" t="s">
        <v>1650</v>
      </c>
      <c r="F337" s="273"/>
      <c r="G337" s="274" t="s">
        <v>127</v>
      </c>
      <c r="H337" s="277"/>
      <c r="I337" s="276"/>
      <c r="K337" s="283"/>
      <c r="L337" s="284"/>
    </row>
    <row r="338" spans="2:12" x14ac:dyDescent="0.25">
      <c r="B338" s="271">
        <f t="shared" si="5"/>
        <v>332</v>
      </c>
      <c r="C338" s="272" t="s">
        <v>1629</v>
      </c>
      <c r="F338" s="273"/>
      <c r="G338" s="274" t="s">
        <v>418</v>
      </c>
      <c r="H338" s="277">
        <v>57200</v>
      </c>
      <c r="I338" s="276"/>
      <c r="K338" s="283"/>
      <c r="L338" s="284"/>
    </row>
    <row r="339" spans="2:12" x14ac:dyDescent="0.25">
      <c r="B339" s="271">
        <f t="shared" si="5"/>
        <v>333</v>
      </c>
      <c r="C339" s="272" t="s">
        <v>1195</v>
      </c>
      <c r="F339" s="273"/>
      <c r="G339" s="274" t="s">
        <v>82</v>
      </c>
      <c r="H339" s="277">
        <v>131890</v>
      </c>
      <c r="I339" s="276"/>
      <c r="K339" s="283"/>
      <c r="L339" s="284"/>
    </row>
    <row r="340" spans="2:12" x14ac:dyDescent="0.25">
      <c r="B340" s="271">
        <f t="shared" si="5"/>
        <v>334</v>
      </c>
      <c r="C340" s="272" t="s">
        <v>1466</v>
      </c>
      <c r="F340" s="273"/>
      <c r="G340" s="274" t="s">
        <v>159</v>
      </c>
      <c r="H340" s="277">
        <v>22000</v>
      </c>
      <c r="I340" s="276"/>
    </row>
    <row r="341" spans="2:12" x14ac:dyDescent="0.25">
      <c r="B341" s="271">
        <f t="shared" si="5"/>
        <v>335</v>
      </c>
      <c r="C341" s="272" t="s">
        <v>1271</v>
      </c>
      <c r="F341" s="273"/>
      <c r="G341" s="274" t="s">
        <v>418</v>
      </c>
      <c r="H341" s="277">
        <v>44100</v>
      </c>
      <c r="I341" s="276"/>
    </row>
    <row r="342" spans="2:12" x14ac:dyDescent="0.25">
      <c r="B342" s="271">
        <f t="shared" si="5"/>
        <v>336</v>
      </c>
      <c r="C342" s="272" t="s">
        <v>1075</v>
      </c>
      <c r="F342" s="273"/>
      <c r="G342" s="274" t="s">
        <v>418</v>
      </c>
      <c r="H342" s="277">
        <v>5360</v>
      </c>
      <c r="I342" s="276"/>
    </row>
    <row r="343" spans="2:12" x14ac:dyDescent="0.25">
      <c r="B343" s="271">
        <f t="shared" si="5"/>
        <v>337</v>
      </c>
      <c r="C343" s="272" t="s">
        <v>1069</v>
      </c>
      <c r="F343" s="273"/>
      <c r="G343" s="274" t="s">
        <v>418</v>
      </c>
      <c r="H343" s="277">
        <v>6440</v>
      </c>
      <c r="I343" s="276"/>
    </row>
    <row r="344" spans="2:12" x14ac:dyDescent="0.25">
      <c r="B344" s="271">
        <f t="shared" si="5"/>
        <v>338</v>
      </c>
      <c r="C344" s="272" t="s">
        <v>1066</v>
      </c>
      <c r="F344" s="273"/>
      <c r="G344" s="274" t="s">
        <v>418</v>
      </c>
      <c r="H344" s="277">
        <v>8130</v>
      </c>
      <c r="I344" s="276"/>
    </row>
    <row r="345" spans="2:12" x14ac:dyDescent="0.25">
      <c r="B345" s="271">
        <f t="shared" si="5"/>
        <v>339</v>
      </c>
      <c r="C345" s="272" t="s">
        <v>1072</v>
      </c>
      <c r="F345" s="273"/>
      <c r="G345" s="274" t="s">
        <v>418</v>
      </c>
      <c r="H345" s="277">
        <v>5630</v>
      </c>
      <c r="I345" s="276"/>
    </row>
    <row r="346" spans="2:12" x14ac:dyDescent="0.25">
      <c r="B346" s="271">
        <f t="shared" si="5"/>
        <v>340</v>
      </c>
      <c r="C346" s="272" t="s">
        <v>1023</v>
      </c>
      <c r="F346" s="273"/>
      <c r="G346" s="274" t="s">
        <v>418</v>
      </c>
      <c r="H346" s="277">
        <v>15730</v>
      </c>
      <c r="I346" s="276"/>
    </row>
    <row r="347" spans="2:12" x14ac:dyDescent="0.25">
      <c r="B347" s="271">
        <f t="shared" si="5"/>
        <v>341</v>
      </c>
      <c r="C347" s="272" t="s">
        <v>1020</v>
      </c>
      <c r="F347" s="273"/>
      <c r="G347" s="274" t="s">
        <v>418</v>
      </c>
      <c r="H347" s="277">
        <v>17780</v>
      </c>
      <c r="I347" s="276"/>
    </row>
    <row r="348" spans="2:12" x14ac:dyDescent="0.25">
      <c r="B348" s="271">
        <f t="shared" si="5"/>
        <v>342</v>
      </c>
      <c r="C348" s="272" t="s">
        <v>999</v>
      </c>
      <c r="F348" s="273"/>
      <c r="G348" s="274" t="s">
        <v>418</v>
      </c>
      <c r="H348" s="277">
        <v>6300</v>
      </c>
      <c r="I348" s="276"/>
    </row>
    <row r="349" spans="2:12" x14ac:dyDescent="0.25">
      <c r="B349" s="271">
        <f t="shared" si="5"/>
        <v>343</v>
      </c>
      <c r="C349" s="272" t="s">
        <v>1002</v>
      </c>
      <c r="F349" s="273"/>
      <c r="G349" s="274" t="s">
        <v>418</v>
      </c>
      <c r="H349" s="277">
        <v>7080</v>
      </c>
      <c r="I349" s="276"/>
    </row>
    <row r="350" spans="2:12" x14ac:dyDescent="0.25">
      <c r="B350" s="271">
        <f t="shared" si="5"/>
        <v>344</v>
      </c>
      <c r="C350" s="272" t="s">
        <v>996</v>
      </c>
      <c r="D350" s="598"/>
      <c r="E350" s="598"/>
      <c r="F350" s="273"/>
      <c r="G350" s="274" t="s">
        <v>418</v>
      </c>
      <c r="H350" s="277">
        <v>7540</v>
      </c>
      <c r="I350" s="276"/>
    </row>
    <row r="351" spans="2:12" x14ac:dyDescent="0.25">
      <c r="B351" s="271">
        <f t="shared" si="5"/>
        <v>345</v>
      </c>
      <c r="C351" s="272" t="s">
        <v>1029</v>
      </c>
      <c r="F351" s="273"/>
      <c r="G351" s="274" t="s">
        <v>418</v>
      </c>
      <c r="H351" s="277">
        <v>7040</v>
      </c>
      <c r="I351" s="276"/>
    </row>
    <row r="352" spans="2:12" x14ac:dyDescent="0.25">
      <c r="B352" s="271">
        <f t="shared" si="5"/>
        <v>346</v>
      </c>
      <c r="C352" s="272" t="s">
        <v>1026</v>
      </c>
      <c r="F352" s="273"/>
      <c r="G352" s="274" t="s">
        <v>418</v>
      </c>
      <c r="H352" s="277">
        <v>8120</v>
      </c>
      <c r="I352" s="276"/>
    </row>
    <row r="353" spans="2:9" x14ac:dyDescent="0.25">
      <c r="B353" s="271">
        <f t="shared" si="5"/>
        <v>347</v>
      </c>
      <c r="C353" s="272" t="s">
        <v>1038</v>
      </c>
      <c r="F353" s="273"/>
      <c r="G353" s="274" t="s">
        <v>418</v>
      </c>
      <c r="H353" s="277">
        <v>17500</v>
      </c>
      <c r="I353" s="276"/>
    </row>
    <row r="354" spans="2:9" x14ac:dyDescent="0.25">
      <c r="B354" s="271">
        <f t="shared" si="5"/>
        <v>348</v>
      </c>
      <c r="C354" s="272" t="s">
        <v>1035</v>
      </c>
      <c r="F354" s="273"/>
      <c r="G354" s="274" t="s">
        <v>418</v>
      </c>
      <c r="H354" s="277">
        <v>18000</v>
      </c>
      <c r="I354" s="276"/>
    </row>
    <row r="355" spans="2:9" x14ac:dyDescent="0.25">
      <c r="B355" s="271">
        <f t="shared" si="5"/>
        <v>349</v>
      </c>
      <c r="C355" s="272" t="s">
        <v>1032</v>
      </c>
      <c r="F355" s="273"/>
      <c r="G355" s="274" t="s">
        <v>418</v>
      </c>
      <c r="H355" s="277">
        <v>19040</v>
      </c>
      <c r="I355" s="276"/>
    </row>
    <row r="356" spans="2:9" x14ac:dyDescent="0.25">
      <c r="B356" s="271">
        <f t="shared" si="5"/>
        <v>350</v>
      </c>
      <c r="C356" s="272" t="s">
        <v>1014</v>
      </c>
      <c r="F356" s="273"/>
      <c r="G356" s="274" t="s">
        <v>418</v>
      </c>
      <c r="H356" s="277">
        <v>5950</v>
      </c>
      <c r="I356" s="276"/>
    </row>
    <row r="357" spans="2:9" x14ac:dyDescent="0.25">
      <c r="B357" s="271">
        <f t="shared" si="5"/>
        <v>351</v>
      </c>
      <c r="C357" s="272" t="s">
        <v>1017</v>
      </c>
      <c r="F357" s="273"/>
      <c r="G357" s="274" t="s">
        <v>418</v>
      </c>
      <c r="H357" s="277">
        <v>8400</v>
      </c>
      <c r="I357" s="276"/>
    </row>
    <row r="358" spans="2:9" x14ac:dyDescent="0.25">
      <c r="B358" s="271">
        <f t="shared" si="5"/>
        <v>352</v>
      </c>
      <c r="C358" s="272" t="s">
        <v>1005</v>
      </c>
      <c r="F358" s="273"/>
      <c r="G358" s="274" t="s">
        <v>418</v>
      </c>
      <c r="H358" s="277">
        <v>5090</v>
      </c>
      <c r="I358" s="276"/>
    </row>
    <row r="359" spans="2:9" x14ac:dyDescent="0.25">
      <c r="B359" s="271">
        <f t="shared" si="5"/>
        <v>353</v>
      </c>
      <c r="C359" s="272" t="s">
        <v>1008</v>
      </c>
      <c r="F359" s="273"/>
      <c r="G359" s="274" t="s">
        <v>418</v>
      </c>
      <c r="H359" s="277">
        <v>5700</v>
      </c>
      <c r="I359" s="276"/>
    </row>
    <row r="360" spans="2:9" x14ac:dyDescent="0.25">
      <c r="B360" s="271">
        <f t="shared" si="5"/>
        <v>354</v>
      </c>
      <c r="C360" s="272" t="s">
        <v>1011</v>
      </c>
      <c r="F360" s="273"/>
      <c r="G360" s="274" t="s">
        <v>418</v>
      </c>
      <c r="H360" s="277">
        <v>7870</v>
      </c>
      <c r="I360" s="276"/>
    </row>
    <row r="361" spans="2:9" x14ac:dyDescent="0.25">
      <c r="B361" s="271">
        <f t="shared" si="5"/>
        <v>355</v>
      </c>
      <c r="C361" s="272" t="s">
        <v>1137</v>
      </c>
      <c r="F361" s="273"/>
      <c r="G361" s="274" t="s">
        <v>418</v>
      </c>
      <c r="H361" s="277">
        <v>28750</v>
      </c>
      <c r="I361" s="276"/>
    </row>
    <row r="362" spans="2:9" x14ac:dyDescent="0.25">
      <c r="B362" s="271">
        <f t="shared" si="5"/>
        <v>356</v>
      </c>
      <c r="C362" s="272" t="s">
        <v>423</v>
      </c>
      <c r="F362" s="273"/>
      <c r="G362" s="274" t="s">
        <v>399</v>
      </c>
      <c r="H362" s="277">
        <v>78000</v>
      </c>
      <c r="I362" s="276"/>
    </row>
    <row r="363" spans="2:9" x14ac:dyDescent="0.25">
      <c r="B363" s="271">
        <f t="shared" si="5"/>
        <v>357</v>
      </c>
      <c r="C363" s="272" t="s">
        <v>1270</v>
      </c>
      <c r="F363" s="273"/>
      <c r="G363" s="274" t="s">
        <v>399</v>
      </c>
      <c r="H363" s="277">
        <v>86000</v>
      </c>
      <c r="I363" s="276"/>
    </row>
    <row r="364" spans="2:9" x14ac:dyDescent="0.25">
      <c r="B364" s="271">
        <f t="shared" si="5"/>
        <v>358</v>
      </c>
      <c r="C364" s="272" t="s">
        <v>595</v>
      </c>
      <c r="F364" s="273"/>
      <c r="G364" s="274" t="s">
        <v>399</v>
      </c>
      <c r="H364" s="277">
        <v>135000</v>
      </c>
      <c r="I364" s="276"/>
    </row>
    <row r="365" spans="2:9" x14ac:dyDescent="0.25">
      <c r="B365" s="271">
        <f t="shared" si="5"/>
        <v>359</v>
      </c>
      <c r="C365" s="272" t="s">
        <v>1479</v>
      </c>
      <c r="F365" s="273"/>
      <c r="G365" s="274" t="s">
        <v>636</v>
      </c>
      <c r="H365" s="277">
        <v>44100</v>
      </c>
      <c r="I365" s="276"/>
    </row>
    <row r="366" spans="2:9" x14ac:dyDescent="0.25">
      <c r="B366" s="271">
        <f t="shared" si="5"/>
        <v>360</v>
      </c>
      <c r="C366" s="272" t="s">
        <v>1480</v>
      </c>
      <c r="F366" s="273"/>
      <c r="G366" s="274" t="s">
        <v>636</v>
      </c>
      <c r="H366" s="277">
        <v>55000</v>
      </c>
      <c r="I366" s="276"/>
    </row>
    <row r="367" spans="2:9" x14ac:dyDescent="0.25">
      <c r="B367" s="271">
        <f t="shared" si="5"/>
        <v>361</v>
      </c>
      <c r="C367" s="272" t="s">
        <v>1791</v>
      </c>
      <c r="F367" s="273"/>
      <c r="G367" s="274" t="s">
        <v>418</v>
      </c>
      <c r="H367" s="277">
        <v>3800000</v>
      </c>
      <c r="I367" s="276"/>
    </row>
    <row r="368" spans="2:9" x14ac:dyDescent="0.25">
      <c r="B368" s="271">
        <f t="shared" si="5"/>
        <v>362</v>
      </c>
      <c r="C368" s="272" t="s">
        <v>1555</v>
      </c>
      <c r="F368" s="273"/>
      <c r="G368" s="274" t="s">
        <v>130</v>
      </c>
      <c r="H368" s="277">
        <v>8260</v>
      </c>
      <c r="I368" s="276"/>
    </row>
    <row r="369" spans="2:12" x14ac:dyDescent="0.25">
      <c r="B369" s="271">
        <f t="shared" si="5"/>
        <v>363</v>
      </c>
      <c r="C369" s="272" t="s">
        <v>1097</v>
      </c>
      <c r="F369" s="273"/>
      <c r="G369" s="274" t="s">
        <v>418</v>
      </c>
      <c r="H369" s="277">
        <v>5900</v>
      </c>
      <c r="I369" s="276"/>
    </row>
    <row r="370" spans="2:12" x14ac:dyDescent="0.25">
      <c r="B370" s="271">
        <f t="shared" si="5"/>
        <v>364</v>
      </c>
      <c r="C370" s="272" t="s">
        <v>1094</v>
      </c>
      <c r="F370" s="273"/>
      <c r="G370" s="274" t="s">
        <v>418</v>
      </c>
      <c r="H370" s="277">
        <v>7200</v>
      </c>
      <c r="I370" s="276"/>
    </row>
    <row r="371" spans="2:12" x14ac:dyDescent="0.25">
      <c r="B371" s="271">
        <f t="shared" si="5"/>
        <v>365</v>
      </c>
      <c r="C371" s="272" t="s">
        <v>1100</v>
      </c>
      <c r="F371" s="273"/>
      <c r="G371" s="274" t="s">
        <v>418</v>
      </c>
      <c r="H371" s="277">
        <v>8750</v>
      </c>
      <c r="I371" s="276"/>
    </row>
    <row r="372" spans="2:12" x14ac:dyDescent="0.25">
      <c r="B372" s="271">
        <f t="shared" si="5"/>
        <v>366</v>
      </c>
      <c r="C372" s="272" t="s">
        <v>1187</v>
      </c>
      <c r="F372" s="273"/>
      <c r="G372" s="274" t="s">
        <v>127</v>
      </c>
      <c r="H372" s="277">
        <v>14520</v>
      </c>
      <c r="I372" s="276"/>
    </row>
    <row r="373" spans="2:12" x14ac:dyDescent="0.25">
      <c r="B373" s="271">
        <f t="shared" si="5"/>
        <v>367</v>
      </c>
      <c r="C373" s="272" t="s">
        <v>765</v>
      </c>
      <c r="F373" s="273"/>
      <c r="G373" s="274" t="s">
        <v>127</v>
      </c>
      <c r="H373" s="277">
        <v>20000</v>
      </c>
      <c r="I373" s="276"/>
    </row>
    <row r="374" spans="2:12" x14ac:dyDescent="0.25">
      <c r="B374" s="271">
        <f t="shared" si="5"/>
        <v>368</v>
      </c>
      <c r="C374" s="272" t="s">
        <v>775</v>
      </c>
      <c r="F374" s="273"/>
      <c r="G374" s="274" t="s">
        <v>127</v>
      </c>
      <c r="H374" s="277">
        <v>65000</v>
      </c>
      <c r="I374" s="276"/>
    </row>
    <row r="375" spans="2:12" x14ac:dyDescent="0.25">
      <c r="B375" s="271">
        <f t="shared" si="5"/>
        <v>369</v>
      </c>
      <c r="C375" s="272" t="s">
        <v>1189</v>
      </c>
      <c r="F375" s="273"/>
      <c r="G375" s="274" t="s">
        <v>603</v>
      </c>
      <c r="H375" s="277">
        <v>350</v>
      </c>
      <c r="I375" s="276"/>
      <c r="K375" s="86"/>
      <c r="L375" s="286"/>
    </row>
    <row r="376" spans="2:12" x14ac:dyDescent="0.25">
      <c r="B376" s="271">
        <f t="shared" si="5"/>
        <v>370</v>
      </c>
      <c r="C376" s="272" t="s">
        <v>796</v>
      </c>
      <c r="F376" s="273"/>
      <c r="G376" s="274" t="s">
        <v>797</v>
      </c>
      <c r="H376" s="277">
        <v>57500</v>
      </c>
      <c r="I376" s="276"/>
    </row>
    <row r="377" spans="2:12" x14ac:dyDescent="0.25">
      <c r="B377" s="271">
        <f t="shared" si="5"/>
        <v>371</v>
      </c>
      <c r="C377" s="272" t="s">
        <v>1421</v>
      </c>
      <c r="F377" s="273"/>
      <c r="G377" s="274" t="s">
        <v>1422</v>
      </c>
      <c r="H377" s="277">
        <v>238000</v>
      </c>
      <c r="I377" s="276"/>
    </row>
    <row r="378" spans="2:12" x14ac:dyDescent="0.25">
      <c r="B378" s="271">
        <f t="shared" si="5"/>
        <v>372</v>
      </c>
      <c r="C378" s="272" t="s">
        <v>1349</v>
      </c>
      <c r="F378" s="273"/>
      <c r="G378" s="274" t="s">
        <v>158</v>
      </c>
      <c r="H378" s="277">
        <v>4500000</v>
      </c>
      <c r="I378" s="276"/>
    </row>
    <row r="379" spans="2:12" x14ac:dyDescent="0.25">
      <c r="B379" s="271">
        <f t="shared" si="5"/>
        <v>373</v>
      </c>
      <c r="C379" s="272" t="s">
        <v>1346</v>
      </c>
      <c r="F379" s="273"/>
      <c r="G379" s="274" t="s">
        <v>158</v>
      </c>
      <c r="H379" s="277">
        <v>3456000</v>
      </c>
      <c r="I379" s="276"/>
    </row>
    <row r="380" spans="2:12" x14ac:dyDescent="0.25">
      <c r="B380" s="271">
        <f t="shared" si="5"/>
        <v>374</v>
      </c>
      <c r="C380" s="272" t="s">
        <v>811</v>
      </c>
      <c r="F380" s="273"/>
      <c r="G380" s="274" t="s">
        <v>284</v>
      </c>
      <c r="H380" s="277">
        <v>11000</v>
      </c>
      <c r="I380" s="276"/>
    </row>
    <row r="381" spans="2:12" x14ac:dyDescent="0.25">
      <c r="B381" s="271">
        <f t="shared" si="5"/>
        <v>375</v>
      </c>
      <c r="C381" s="272" t="s">
        <v>384</v>
      </c>
      <c r="F381" s="273"/>
      <c r="G381" s="274" t="s">
        <v>385</v>
      </c>
      <c r="H381" s="277">
        <v>10370</v>
      </c>
      <c r="I381" s="276"/>
    </row>
    <row r="382" spans="2:12" x14ac:dyDescent="0.25">
      <c r="B382" s="271">
        <f t="shared" si="5"/>
        <v>376</v>
      </c>
      <c r="C382" s="272" t="s">
        <v>1483</v>
      </c>
      <c r="F382" s="273"/>
      <c r="G382" s="274" t="s">
        <v>636</v>
      </c>
      <c r="H382" s="277">
        <f>H381</f>
        <v>10370</v>
      </c>
      <c r="I382" s="276"/>
    </row>
    <row r="383" spans="2:12" x14ac:dyDescent="0.25">
      <c r="B383" s="271">
        <f t="shared" si="5"/>
        <v>377</v>
      </c>
      <c r="C383" s="272" t="s">
        <v>762</v>
      </c>
      <c r="F383" s="273"/>
      <c r="G383" s="274" t="s">
        <v>82</v>
      </c>
      <c r="H383" s="277">
        <v>608400</v>
      </c>
      <c r="I383" s="276"/>
    </row>
    <row r="384" spans="2:12" x14ac:dyDescent="0.25">
      <c r="B384" s="271">
        <f t="shared" si="5"/>
        <v>378</v>
      </c>
      <c r="C384" s="272" t="s">
        <v>1215</v>
      </c>
      <c r="F384" s="273"/>
      <c r="G384" s="274" t="s">
        <v>399</v>
      </c>
      <c r="H384" s="277">
        <v>144000</v>
      </c>
      <c r="I384" s="276"/>
    </row>
    <row r="385" spans="2:9" x14ac:dyDescent="0.25">
      <c r="B385" s="271">
        <f t="shared" si="5"/>
        <v>379</v>
      </c>
      <c r="C385" s="272" t="s">
        <v>1458</v>
      </c>
      <c r="F385" s="273"/>
      <c r="G385" s="274" t="s">
        <v>159</v>
      </c>
      <c r="H385" s="277">
        <v>13000</v>
      </c>
      <c r="I385" s="276"/>
    </row>
    <row r="386" spans="2:9" x14ac:dyDescent="0.25">
      <c r="B386" s="271">
        <f t="shared" si="5"/>
        <v>380</v>
      </c>
      <c r="C386" s="272" t="s">
        <v>1912</v>
      </c>
      <c r="F386" s="273"/>
      <c r="G386" s="274" t="s">
        <v>130</v>
      </c>
      <c r="H386" s="277">
        <v>33500</v>
      </c>
      <c r="I386" s="276"/>
    </row>
    <row r="387" spans="2:9" x14ac:dyDescent="0.25">
      <c r="B387" s="271">
        <f t="shared" si="5"/>
        <v>381</v>
      </c>
      <c r="C387" s="272" t="s">
        <v>1914</v>
      </c>
      <c r="F387" s="273"/>
      <c r="G387" s="274" t="s">
        <v>130</v>
      </c>
      <c r="H387" s="277">
        <v>27500</v>
      </c>
      <c r="I387" s="276"/>
    </row>
    <row r="388" spans="2:9" x14ac:dyDescent="0.25">
      <c r="B388" s="271">
        <f t="shared" si="5"/>
        <v>382</v>
      </c>
      <c r="C388" s="272" t="s">
        <v>706</v>
      </c>
      <c r="F388" s="273"/>
      <c r="G388" s="274" t="s">
        <v>159</v>
      </c>
      <c r="H388" s="277">
        <v>3050</v>
      </c>
      <c r="I388" s="276"/>
    </row>
    <row r="389" spans="2:9" x14ac:dyDescent="0.25">
      <c r="B389" s="271">
        <f t="shared" si="5"/>
        <v>383</v>
      </c>
      <c r="C389" s="272" t="s">
        <v>1160</v>
      </c>
      <c r="F389" s="273"/>
      <c r="G389" s="274" t="s">
        <v>130</v>
      </c>
      <c r="H389" s="277">
        <v>600</v>
      </c>
      <c r="I389" s="276"/>
    </row>
    <row r="390" spans="2:9" x14ac:dyDescent="0.25">
      <c r="B390" s="271">
        <f t="shared" si="5"/>
        <v>384</v>
      </c>
      <c r="C390" s="272" t="s">
        <v>767</v>
      </c>
      <c r="F390" s="273"/>
      <c r="G390" s="274" t="s">
        <v>768</v>
      </c>
      <c r="H390" s="277">
        <v>45000</v>
      </c>
      <c r="I390" s="276"/>
    </row>
    <row r="391" spans="2:9" x14ac:dyDescent="0.25">
      <c r="B391" s="271">
        <f t="shared" si="5"/>
        <v>385</v>
      </c>
      <c r="C391" s="272" t="s">
        <v>1587</v>
      </c>
      <c r="F391" s="273"/>
      <c r="G391" s="274" t="s">
        <v>603</v>
      </c>
      <c r="H391" s="277">
        <v>4060</v>
      </c>
      <c r="I391" s="276"/>
    </row>
    <row r="392" spans="2:9" x14ac:dyDescent="0.25">
      <c r="B392" s="271">
        <f t="shared" si="5"/>
        <v>386</v>
      </c>
      <c r="C392" s="272" t="s">
        <v>1788</v>
      </c>
      <c r="F392" s="273"/>
      <c r="G392" s="274" t="s">
        <v>130</v>
      </c>
      <c r="H392" s="277">
        <v>310</v>
      </c>
      <c r="I392" s="276"/>
    </row>
    <row r="393" spans="2:9" x14ac:dyDescent="0.25">
      <c r="B393" s="271">
        <f t="shared" si="5"/>
        <v>387</v>
      </c>
      <c r="C393" s="272" t="s">
        <v>705</v>
      </c>
      <c r="F393" s="273"/>
      <c r="G393" s="274" t="s">
        <v>159</v>
      </c>
      <c r="H393" s="277">
        <v>1920</v>
      </c>
      <c r="I393" s="276"/>
    </row>
    <row r="394" spans="2:9" x14ac:dyDescent="0.25">
      <c r="B394" s="271">
        <f t="shared" si="5"/>
        <v>388</v>
      </c>
      <c r="C394" s="272" t="s">
        <v>847</v>
      </c>
      <c r="F394" s="273"/>
      <c r="G394" s="274" t="s">
        <v>159</v>
      </c>
      <c r="H394" s="277">
        <v>2460</v>
      </c>
      <c r="I394" s="276"/>
    </row>
    <row r="395" spans="2:9" x14ac:dyDescent="0.25">
      <c r="B395" s="271">
        <f t="shared" si="5"/>
        <v>389</v>
      </c>
      <c r="C395" s="272" t="s">
        <v>945</v>
      </c>
      <c r="F395" s="273"/>
      <c r="G395" s="274" t="s">
        <v>159</v>
      </c>
      <c r="H395" s="277">
        <v>2330</v>
      </c>
      <c r="I395" s="276"/>
    </row>
    <row r="396" spans="2:9" x14ac:dyDescent="0.25">
      <c r="B396" s="271">
        <f t="shared" si="5"/>
        <v>390</v>
      </c>
      <c r="C396" s="272" t="s">
        <v>942</v>
      </c>
      <c r="F396" s="273"/>
      <c r="G396" s="274" t="s">
        <v>159</v>
      </c>
      <c r="H396" s="277">
        <v>2330</v>
      </c>
      <c r="I396" s="276"/>
    </row>
    <row r="397" spans="2:9" x14ac:dyDescent="0.25">
      <c r="B397" s="271">
        <f t="shared" si="5"/>
        <v>391</v>
      </c>
      <c r="C397" s="272" t="s">
        <v>380</v>
      </c>
      <c r="F397" s="273"/>
      <c r="G397" s="274" t="s">
        <v>159</v>
      </c>
      <c r="H397" s="277">
        <v>1880</v>
      </c>
      <c r="I397" s="276"/>
    </row>
    <row r="398" spans="2:9" x14ac:dyDescent="0.25">
      <c r="B398" s="271">
        <f t="shared" si="5"/>
        <v>392</v>
      </c>
      <c r="C398" s="272" t="s">
        <v>960</v>
      </c>
      <c r="F398" s="273"/>
      <c r="G398" s="274" t="s">
        <v>159</v>
      </c>
      <c r="H398" s="277">
        <v>2460</v>
      </c>
      <c r="I398" s="276"/>
    </row>
    <row r="399" spans="2:9" x14ac:dyDescent="0.25">
      <c r="B399" s="271">
        <f t="shared" si="5"/>
        <v>393</v>
      </c>
      <c r="C399" s="272" t="s">
        <v>398</v>
      </c>
      <c r="F399" s="273"/>
      <c r="G399" s="274" t="s">
        <v>399</v>
      </c>
      <c r="H399" s="277">
        <v>63500</v>
      </c>
      <c r="I399" s="276"/>
    </row>
    <row r="400" spans="2:9" x14ac:dyDescent="0.25">
      <c r="B400" s="271">
        <f t="shared" si="5"/>
        <v>394</v>
      </c>
      <c r="C400" s="272" t="s">
        <v>419</v>
      </c>
      <c r="F400" s="273"/>
      <c r="G400" s="274" t="s">
        <v>399</v>
      </c>
      <c r="H400" s="277">
        <v>33000</v>
      </c>
      <c r="I400" s="276"/>
    </row>
    <row r="401" spans="2:9" x14ac:dyDescent="0.25">
      <c r="B401" s="271">
        <f t="shared" ref="B401:B466" si="6">B400+1</f>
        <v>395</v>
      </c>
      <c r="C401" s="272" t="s">
        <v>1280</v>
      </c>
      <c r="D401" s="598"/>
      <c r="E401" s="598"/>
      <c r="F401" s="273"/>
      <c r="G401" s="274" t="s">
        <v>418</v>
      </c>
      <c r="H401" s="277">
        <v>12000</v>
      </c>
      <c r="I401" s="276"/>
    </row>
    <row r="402" spans="2:9" x14ac:dyDescent="0.25">
      <c r="B402" s="271">
        <f t="shared" si="6"/>
        <v>396</v>
      </c>
      <c r="C402" s="272" t="s">
        <v>500</v>
      </c>
      <c r="F402" s="273"/>
      <c r="G402" s="274" t="s">
        <v>158</v>
      </c>
      <c r="H402" s="277">
        <v>274850</v>
      </c>
      <c r="I402" s="276"/>
    </row>
    <row r="403" spans="2:9" x14ac:dyDescent="0.25">
      <c r="B403" s="271">
        <f t="shared" si="6"/>
        <v>397</v>
      </c>
      <c r="C403" s="272" t="s">
        <v>766</v>
      </c>
      <c r="F403" s="273"/>
      <c r="G403" s="274" t="s">
        <v>152</v>
      </c>
      <c r="H403" s="277">
        <v>200</v>
      </c>
      <c r="I403" s="276"/>
    </row>
    <row r="404" spans="2:9" x14ac:dyDescent="0.25">
      <c r="B404" s="271">
        <f t="shared" si="6"/>
        <v>398</v>
      </c>
      <c r="C404" s="272" t="s">
        <v>1785</v>
      </c>
      <c r="F404" s="273"/>
      <c r="G404" s="274" t="s">
        <v>130</v>
      </c>
      <c r="H404" s="277">
        <v>16520</v>
      </c>
      <c r="I404" s="276"/>
    </row>
    <row r="405" spans="2:9" x14ac:dyDescent="0.25">
      <c r="B405" s="271">
        <f t="shared" si="6"/>
        <v>399</v>
      </c>
      <c r="C405" s="272" t="s">
        <v>1455</v>
      </c>
      <c r="F405" s="273"/>
      <c r="G405" s="274" t="s">
        <v>159</v>
      </c>
      <c r="H405" s="277">
        <v>50850</v>
      </c>
      <c r="I405" s="276"/>
    </row>
    <row r="406" spans="2:9" x14ac:dyDescent="0.25">
      <c r="B406" s="271">
        <f t="shared" si="6"/>
        <v>400</v>
      </c>
      <c r="C406" s="272" t="s">
        <v>676</v>
      </c>
      <c r="F406" s="273"/>
      <c r="G406" s="274" t="s">
        <v>636</v>
      </c>
      <c r="H406" s="277">
        <v>10540</v>
      </c>
      <c r="I406" s="276"/>
    </row>
    <row r="407" spans="2:9" x14ac:dyDescent="0.25">
      <c r="B407" s="271">
        <f t="shared" si="6"/>
        <v>401</v>
      </c>
      <c r="C407" s="272" t="s">
        <v>1402</v>
      </c>
      <c r="F407" s="273"/>
      <c r="G407" s="274" t="s">
        <v>418</v>
      </c>
      <c r="H407" s="277">
        <v>8850</v>
      </c>
      <c r="I407" s="276"/>
    </row>
    <row r="408" spans="2:9" x14ac:dyDescent="0.25">
      <c r="B408" s="271">
        <f t="shared" si="6"/>
        <v>402</v>
      </c>
      <c r="C408" s="272" t="s">
        <v>1916</v>
      </c>
      <c r="F408" s="273"/>
      <c r="G408" s="274" t="s">
        <v>418</v>
      </c>
      <c r="H408" s="277">
        <v>37250</v>
      </c>
      <c r="I408" s="276"/>
    </row>
    <row r="409" spans="2:9" x14ac:dyDescent="0.25">
      <c r="B409" s="271">
        <f t="shared" si="6"/>
        <v>403</v>
      </c>
      <c r="C409" s="272" t="s">
        <v>563</v>
      </c>
      <c r="F409" s="273"/>
      <c r="G409" s="274" t="s">
        <v>133</v>
      </c>
      <c r="H409" s="277">
        <v>52700</v>
      </c>
      <c r="I409" s="276"/>
    </row>
    <row r="410" spans="2:9" x14ac:dyDescent="0.25">
      <c r="B410" s="271">
        <f t="shared" si="6"/>
        <v>404</v>
      </c>
      <c r="C410" s="272" t="s">
        <v>757</v>
      </c>
      <c r="F410" s="273"/>
      <c r="G410" s="274" t="s">
        <v>82</v>
      </c>
      <c r="H410" s="277">
        <v>292500</v>
      </c>
      <c r="I410" s="276"/>
    </row>
    <row r="411" spans="2:9" x14ac:dyDescent="0.25">
      <c r="B411" s="271">
        <f t="shared" si="6"/>
        <v>405</v>
      </c>
      <c r="C411" s="272" t="s">
        <v>812</v>
      </c>
      <c r="F411" s="273"/>
      <c r="G411" s="274" t="s">
        <v>284</v>
      </c>
      <c r="H411" s="277">
        <v>50400</v>
      </c>
      <c r="I411" s="276"/>
    </row>
    <row r="412" spans="2:9" x14ac:dyDescent="0.25">
      <c r="B412" s="271">
        <f t="shared" si="6"/>
        <v>406</v>
      </c>
      <c r="C412" s="272" t="s">
        <v>441</v>
      </c>
      <c r="F412" s="273"/>
      <c r="G412" s="274" t="s">
        <v>159</v>
      </c>
      <c r="H412" s="277">
        <v>25510</v>
      </c>
      <c r="I412" s="276"/>
    </row>
    <row r="413" spans="2:9" x14ac:dyDescent="0.25">
      <c r="B413" s="271">
        <f t="shared" si="6"/>
        <v>407</v>
      </c>
      <c r="C413" s="272" t="s">
        <v>494</v>
      </c>
      <c r="F413" s="273"/>
      <c r="G413" s="274" t="s">
        <v>158</v>
      </c>
      <c r="H413" s="277">
        <v>40000</v>
      </c>
      <c r="I413" s="276"/>
    </row>
    <row r="414" spans="2:9" x14ac:dyDescent="0.25">
      <c r="B414" s="271">
        <f t="shared" si="6"/>
        <v>408</v>
      </c>
      <c r="C414" s="272" t="s">
        <v>1476</v>
      </c>
      <c r="F414" s="273"/>
      <c r="G414" s="274" t="s">
        <v>636</v>
      </c>
      <c r="H414" s="277">
        <v>20460</v>
      </c>
      <c r="I414" s="276"/>
    </row>
    <row r="415" spans="2:9" x14ac:dyDescent="0.25">
      <c r="B415" s="271">
        <f t="shared" si="6"/>
        <v>409</v>
      </c>
      <c r="C415" s="272" t="s">
        <v>1333</v>
      </c>
      <c r="F415" s="273"/>
      <c r="G415" s="274" t="s">
        <v>621</v>
      </c>
      <c r="H415" s="277">
        <v>73080</v>
      </c>
      <c r="I415" s="276"/>
    </row>
    <row r="416" spans="2:9" x14ac:dyDescent="0.25">
      <c r="B416" s="271">
        <f t="shared" si="6"/>
        <v>410</v>
      </c>
      <c r="C416" s="272" t="s">
        <v>1366</v>
      </c>
      <c r="F416" s="273"/>
      <c r="G416" s="274" t="s">
        <v>621</v>
      </c>
      <c r="H416" s="277">
        <v>81900</v>
      </c>
      <c r="I416" s="276"/>
    </row>
    <row r="417" spans="2:9" x14ac:dyDescent="0.25">
      <c r="B417" s="271">
        <f t="shared" si="6"/>
        <v>411</v>
      </c>
      <c r="C417" s="272" t="s">
        <v>1777</v>
      </c>
      <c r="F417" s="273"/>
      <c r="G417" s="274" t="s">
        <v>130</v>
      </c>
      <c r="H417" s="277">
        <v>1770</v>
      </c>
      <c r="I417" s="276"/>
    </row>
    <row r="418" spans="2:9" hidden="1" x14ac:dyDescent="0.25">
      <c r="B418" s="271">
        <f t="shared" si="6"/>
        <v>412</v>
      </c>
      <c r="C418" s="272" t="s">
        <v>1750</v>
      </c>
      <c r="F418" s="273"/>
      <c r="G418" s="274" t="s">
        <v>130</v>
      </c>
      <c r="H418" s="277"/>
      <c r="I418" s="276"/>
    </row>
    <row r="419" spans="2:9" hidden="1" x14ac:dyDescent="0.25">
      <c r="B419" s="271">
        <f t="shared" si="6"/>
        <v>413</v>
      </c>
      <c r="C419" s="272" t="s">
        <v>1751</v>
      </c>
      <c r="F419" s="273"/>
      <c r="G419" s="274" t="s">
        <v>130</v>
      </c>
      <c r="H419" s="277"/>
      <c r="I419" s="276"/>
    </row>
    <row r="420" spans="2:9" hidden="1" x14ac:dyDescent="0.25">
      <c r="B420" s="271">
        <f t="shared" si="6"/>
        <v>414</v>
      </c>
      <c r="C420" s="272" t="s">
        <v>1752</v>
      </c>
      <c r="F420" s="273"/>
      <c r="G420" s="274" t="s">
        <v>130</v>
      </c>
      <c r="H420" s="277"/>
      <c r="I420" s="276"/>
    </row>
    <row r="421" spans="2:9" hidden="1" x14ac:dyDescent="0.25">
      <c r="B421" s="271">
        <f t="shared" si="6"/>
        <v>415</v>
      </c>
      <c r="C421" s="272" t="s">
        <v>1739</v>
      </c>
      <c r="F421" s="273"/>
      <c r="G421" s="274" t="s">
        <v>130</v>
      </c>
      <c r="H421" s="277"/>
      <c r="I421" s="276"/>
    </row>
    <row r="422" spans="2:9" hidden="1" x14ac:dyDescent="0.25">
      <c r="B422" s="271">
        <f t="shared" si="6"/>
        <v>416</v>
      </c>
      <c r="C422" s="272" t="s">
        <v>1740</v>
      </c>
      <c r="F422" s="273"/>
      <c r="G422" s="274" t="s">
        <v>130</v>
      </c>
      <c r="H422" s="277"/>
      <c r="I422" s="276"/>
    </row>
    <row r="423" spans="2:9" hidden="1" x14ac:dyDescent="0.25">
      <c r="B423" s="271">
        <f t="shared" si="6"/>
        <v>417</v>
      </c>
      <c r="C423" s="272" t="s">
        <v>1741</v>
      </c>
      <c r="F423" s="273"/>
      <c r="G423" s="274" t="s">
        <v>130</v>
      </c>
      <c r="H423" s="277"/>
      <c r="I423" s="276"/>
    </row>
    <row r="424" spans="2:9" hidden="1" x14ac:dyDescent="0.25">
      <c r="B424" s="271">
        <f t="shared" si="6"/>
        <v>418</v>
      </c>
      <c r="C424" s="272" t="s">
        <v>1742</v>
      </c>
      <c r="F424" s="273"/>
      <c r="G424" s="274" t="s">
        <v>130</v>
      </c>
      <c r="H424" s="277"/>
      <c r="I424" s="276"/>
    </row>
    <row r="425" spans="2:9" hidden="1" x14ac:dyDescent="0.25">
      <c r="B425" s="271">
        <f t="shared" si="6"/>
        <v>419</v>
      </c>
      <c r="C425" s="272" t="s">
        <v>1743</v>
      </c>
      <c r="F425" s="273"/>
      <c r="G425" s="274" t="s">
        <v>130</v>
      </c>
      <c r="H425" s="277"/>
      <c r="I425" s="276"/>
    </row>
    <row r="426" spans="2:9" hidden="1" x14ac:dyDescent="0.25">
      <c r="B426" s="271">
        <f t="shared" si="6"/>
        <v>420</v>
      </c>
      <c r="C426" s="272" t="s">
        <v>1744</v>
      </c>
      <c r="F426" s="273"/>
      <c r="G426" s="274" t="s">
        <v>130</v>
      </c>
      <c r="H426" s="277"/>
      <c r="I426" s="276"/>
    </row>
    <row r="427" spans="2:9" hidden="1" x14ac:dyDescent="0.25">
      <c r="B427" s="271">
        <f t="shared" si="6"/>
        <v>421</v>
      </c>
      <c r="C427" s="272" t="s">
        <v>1745</v>
      </c>
      <c r="F427" s="273"/>
      <c r="G427" s="274" t="s">
        <v>130</v>
      </c>
      <c r="H427" s="277"/>
      <c r="I427" s="276"/>
    </row>
    <row r="428" spans="2:9" hidden="1" x14ac:dyDescent="0.25">
      <c r="B428" s="271">
        <f t="shared" si="6"/>
        <v>422</v>
      </c>
      <c r="C428" s="272" t="s">
        <v>1746</v>
      </c>
      <c r="F428" s="273"/>
      <c r="G428" s="274" t="s">
        <v>130</v>
      </c>
      <c r="H428" s="277"/>
      <c r="I428" s="276"/>
    </row>
    <row r="429" spans="2:9" hidden="1" x14ac:dyDescent="0.25">
      <c r="B429" s="271">
        <f t="shared" si="6"/>
        <v>423</v>
      </c>
      <c r="C429" s="272" t="s">
        <v>1747</v>
      </c>
      <c r="F429" s="273"/>
      <c r="G429" s="274" t="s">
        <v>130</v>
      </c>
      <c r="H429" s="277"/>
      <c r="I429" s="276"/>
    </row>
    <row r="430" spans="2:9" hidden="1" x14ac:dyDescent="0.25">
      <c r="B430" s="271">
        <f t="shared" si="6"/>
        <v>424</v>
      </c>
      <c r="C430" s="272" t="s">
        <v>1748</v>
      </c>
      <c r="F430" s="273"/>
      <c r="G430" s="274" t="s">
        <v>130</v>
      </c>
      <c r="H430" s="277"/>
      <c r="I430" s="276"/>
    </row>
    <row r="431" spans="2:9" hidden="1" x14ac:dyDescent="0.25">
      <c r="B431" s="271">
        <f t="shared" si="6"/>
        <v>425</v>
      </c>
      <c r="C431" s="272" t="s">
        <v>1749</v>
      </c>
      <c r="F431" s="273"/>
      <c r="G431" s="274" t="s">
        <v>130</v>
      </c>
      <c r="H431" s="277"/>
      <c r="I431" s="276"/>
    </row>
    <row r="432" spans="2:9" x14ac:dyDescent="0.25">
      <c r="B432" s="271">
        <f t="shared" si="6"/>
        <v>426</v>
      </c>
      <c r="C432" s="272" t="s">
        <v>1041</v>
      </c>
      <c r="F432" s="273"/>
      <c r="G432" s="274" t="s">
        <v>489</v>
      </c>
      <c r="H432" s="277">
        <v>5400</v>
      </c>
      <c r="I432" s="276"/>
    </row>
    <row r="433" spans="2:9" x14ac:dyDescent="0.25">
      <c r="B433" s="271"/>
      <c r="C433" s="272" t="s">
        <v>1885</v>
      </c>
      <c r="F433" s="273"/>
      <c r="G433" s="274" t="s">
        <v>159</v>
      </c>
      <c r="H433" s="277">
        <v>29000</v>
      </c>
      <c r="I433" s="276"/>
    </row>
    <row r="434" spans="2:9" x14ac:dyDescent="0.25">
      <c r="B434" s="271">
        <f>B432+1</f>
        <v>427</v>
      </c>
      <c r="C434" s="272" t="s">
        <v>1803</v>
      </c>
      <c r="F434" s="273"/>
      <c r="G434" s="274" t="s">
        <v>127</v>
      </c>
      <c r="H434" s="277">
        <v>132250</v>
      </c>
      <c r="I434" s="276"/>
    </row>
    <row r="435" spans="2:9" x14ac:dyDescent="0.25">
      <c r="B435" s="271">
        <f t="shared" si="6"/>
        <v>428</v>
      </c>
      <c r="C435" s="272" t="s">
        <v>1178</v>
      </c>
      <c r="F435" s="273"/>
      <c r="G435" s="274" t="s">
        <v>621</v>
      </c>
      <c r="H435" s="277">
        <v>46990</v>
      </c>
      <c r="I435" s="276"/>
    </row>
    <row r="436" spans="2:9" x14ac:dyDescent="0.25">
      <c r="B436" s="271">
        <f t="shared" si="6"/>
        <v>429</v>
      </c>
      <c r="C436" s="272" t="s">
        <v>978</v>
      </c>
      <c r="F436" s="273"/>
      <c r="G436" s="274" t="s">
        <v>418</v>
      </c>
      <c r="H436" s="277">
        <v>19840</v>
      </c>
      <c r="I436" s="276"/>
    </row>
    <row r="437" spans="2:9" x14ac:dyDescent="0.25">
      <c r="B437" s="271">
        <f t="shared" si="6"/>
        <v>430</v>
      </c>
      <c r="C437" s="272" t="s">
        <v>975</v>
      </c>
      <c r="F437" s="273"/>
      <c r="G437" s="274" t="s">
        <v>418</v>
      </c>
      <c r="H437" s="277">
        <v>24600</v>
      </c>
      <c r="I437" s="276"/>
    </row>
    <row r="438" spans="2:9" x14ac:dyDescent="0.25">
      <c r="B438" s="271">
        <f t="shared" si="6"/>
        <v>431</v>
      </c>
      <c r="C438" s="272" t="s">
        <v>1060</v>
      </c>
      <c r="F438" s="273"/>
      <c r="G438" s="274" t="s">
        <v>418</v>
      </c>
      <c r="H438" s="277">
        <v>17700</v>
      </c>
      <c r="I438" s="276"/>
    </row>
    <row r="439" spans="2:9" x14ac:dyDescent="0.25">
      <c r="B439" s="271">
        <f t="shared" si="6"/>
        <v>432</v>
      </c>
      <c r="C439" s="272" t="s">
        <v>956</v>
      </c>
      <c r="F439" s="273"/>
      <c r="G439" s="274" t="s">
        <v>418</v>
      </c>
      <c r="H439" s="277">
        <v>3630</v>
      </c>
      <c r="I439" s="276"/>
    </row>
    <row r="440" spans="2:9" x14ac:dyDescent="0.25">
      <c r="B440" s="271">
        <f t="shared" si="6"/>
        <v>433</v>
      </c>
      <c r="C440" s="272" t="s">
        <v>953</v>
      </c>
      <c r="F440" s="273"/>
      <c r="G440" s="274" t="s">
        <v>418</v>
      </c>
      <c r="H440" s="277">
        <v>5180</v>
      </c>
      <c r="I440" s="276"/>
    </row>
    <row r="441" spans="2:9" x14ac:dyDescent="0.25">
      <c r="B441" s="271">
        <f t="shared" si="6"/>
        <v>434</v>
      </c>
      <c r="C441" s="272" t="s">
        <v>950</v>
      </c>
      <c r="F441" s="273"/>
      <c r="G441" s="274" t="s">
        <v>418</v>
      </c>
      <c r="H441" s="277">
        <v>7380</v>
      </c>
      <c r="I441" s="276"/>
    </row>
    <row r="442" spans="2:9" x14ac:dyDescent="0.25">
      <c r="B442" s="271">
        <f t="shared" si="6"/>
        <v>435</v>
      </c>
      <c r="C442" s="272" t="s">
        <v>1565</v>
      </c>
      <c r="F442" s="273"/>
      <c r="G442" s="274" t="s">
        <v>418</v>
      </c>
      <c r="H442" s="277">
        <v>7740</v>
      </c>
      <c r="I442" s="276"/>
    </row>
    <row r="443" spans="2:9" x14ac:dyDescent="0.25">
      <c r="B443" s="271">
        <f t="shared" si="6"/>
        <v>436</v>
      </c>
      <c r="C443" s="272" t="s">
        <v>981</v>
      </c>
      <c r="F443" s="273"/>
      <c r="G443" s="274" t="s">
        <v>418</v>
      </c>
      <c r="H443" s="277">
        <v>13800</v>
      </c>
      <c r="I443" s="276"/>
    </row>
    <row r="444" spans="2:9" x14ac:dyDescent="0.25">
      <c r="B444" s="271">
        <f t="shared" si="6"/>
        <v>437</v>
      </c>
      <c r="C444" s="272" t="s">
        <v>984</v>
      </c>
      <c r="F444" s="273"/>
      <c r="G444" s="274" t="s">
        <v>418</v>
      </c>
      <c r="H444" s="277">
        <v>17360</v>
      </c>
      <c r="I444" s="276"/>
    </row>
    <row r="445" spans="2:9" x14ac:dyDescent="0.25">
      <c r="B445" s="271">
        <f t="shared" si="6"/>
        <v>438</v>
      </c>
      <c r="C445" s="272" t="s">
        <v>993</v>
      </c>
      <c r="F445" s="273"/>
      <c r="G445" s="274" t="s">
        <v>418</v>
      </c>
      <c r="H445" s="277">
        <v>39780</v>
      </c>
      <c r="I445" s="276"/>
    </row>
    <row r="446" spans="2:9" x14ac:dyDescent="0.25">
      <c r="B446" s="271">
        <f t="shared" si="6"/>
        <v>439</v>
      </c>
      <c r="C446" s="272" t="s">
        <v>990</v>
      </c>
      <c r="F446" s="273"/>
      <c r="G446" s="274" t="s">
        <v>418</v>
      </c>
      <c r="H446" s="277">
        <v>41040</v>
      </c>
      <c r="I446" s="276"/>
    </row>
    <row r="447" spans="2:9" x14ac:dyDescent="0.25">
      <c r="B447" s="271">
        <f t="shared" si="6"/>
        <v>440</v>
      </c>
      <c r="C447" s="272" t="s">
        <v>987</v>
      </c>
      <c r="F447" s="273"/>
      <c r="G447" s="274" t="s">
        <v>418</v>
      </c>
      <c r="H447" s="277">
        <v>55800</v>
      </c>
      <c r="I447" s="276"/>
    </row>
    <row r="448" spans="2:9" x14ac:dyDescent="0.25">
      <c r="B448" s="271">
        <f t="shared" si="6"/>
        <v>441</v>
      </c>
      <c r="C448" s="272" t="s">
        <v>972</v>
      </c>
      <c r="F448" s="273"/>
      <c r="G448" s="274" t="s">
        <v>418</v>
      </c>
      <c r="H448" s="277">
        <v>16200</v>
      </c>
      <c r="I448" s="276"/>
    </row>
    <row r="449" spans="2:9" x14ac:dyDescent="0.25">
      <c r="B449" s="271">
        <f t="shared" si="6"/>
        <v>442</v>
      </c>
      <c r="C449" s="272" t="s">
        <v>969</v>
      </c>
      <c r="F449" s="273"/>
      <c r="G449" s="274" t="s">
        <v>418</v>
      </c>
      <c r="H449" s="277">
        <v>19380</v>
      </c>
      <c r="I449" s="276"/>
    </row>
    <row r="450" spans="2:9" x14ac:dyDescent="0.25">
      <c r="B450" s="271">
        <f t="shared" si="6"/>
        <v>443</v>
      </c>
      <c r="C450" s="272" t="s">
        <v>966</v>
      </c>
      <c r="F450" s="273"/>
      <c r="G450" s="274" t="s">
        <v>418</v>
      </c>
      <c r="H450" s="277">
        <v>14260</v>
      </c>
      <c r="I450" s="276"/>
    </row>
    <row r="451" spans="2:9" x14ac:dyDescent="0.25">
      <c r="B451" s="271">
        <f t="shared" si="6"/>
        <v>444</v>
      </c>
      <c r="C451" s="272" t="s">
        <v>963</v>
      </c>
      <c r="F451" s="273"/>
      <c r="G451" s="274" t="s">
        <v>418</v>
      </c>
      <c r="H451" s="277">
        <v>15750</v>
      </c>
      <c r="I451" s="276"/>
    </row>
    <row r="452" spans="2:9" x14ac:dyDescent="0.25">
      <c r="B452" s="271">
        <f t="shared" si="6"/>
        <v>445</v>
      </c>
      <c r="C452" s="272" t="s">
        <v>959</v>
      </c>
      <c r="F452" s="273"/>
      <c r="G452" s="274" t="s">
        <v>418</v>
      </c>
      <c r="H452" s="277">
        <v>17980</v>
      </c>
      <c r="I452" s="276"/>
    </row>
    <row r="453" spans="2:9" x14ac:dyDescent="0.25">
      <c r="B453" s="271">
        <f t="shared" si="6"/>
        <v>446</v>
      </c>
      <c r="C453" s="272" t="s">
        <v>1085</v>
      </c>
      <c r="F453" s="273"/>
      <c r="G453" s="274" t="s">
        <v>82</v>
      </c>
      <c r="H453" s="277">
        <v>35060</v>
      </c>
      <c r="I453" s="276"/>
    </row>
    <row r="454" spans="2:9" x14ac:dyDescent="0.25">
      <c r="B454" s="271">
        <f t="shared" si="6"/>
        <v>447</v>
      </c>
      <c r="C454" s="272" t="s">
        <v>1543</v>
      </c>
      <c r="F454" s="273"/>
      <c r="G454" s="274" t="s">
        <v>1534</v>
      </c>
      <c r="H454" s="277">
        <v>1652000</v>
      </c>
      <c r="I454" s="276"/>
    </row>
    <row r="455" spans="2:9" hidden="1" x14ac:dyDescent="0.25">
      <c r="B455" s="271">
        <f t="shared" si="6"/>
        <v>448</v>
      </c>
      <c r="C455" s="272" t="s">
        <v>1736</v>
      </c>
      <c r="F455" s="273"/>
      <c r="G455" s="274" t="s">
        <v>130</v>
      </c>
      <c r="H455" s="277"/>
      <c r="I455" s="276"/>
    </row>
    <row r="456" spans="2:9" hidden="1" x14ac:dyDescent="0.25">
      <c r="B456" s="271">
        <f t="shared" si="6"/>
        <v>449</v>
      </c>
      <c r="C456" s="272" t="s">
        <v>1737</v>
      </c>
      <c r="F456" s="273"/>
      <c r="G456" s="274" t="s">
        <v>130</v>
      </c>
      <c r="H456" s="277"/>
      <c r="I456" s="276"/>
    </row>
    <row r="457" spans="2:9" hidden="1" x14ac:dyDescent="0.25">
      <c r="B457" s="271">
        <f t="shared" si="6"/>
        <v>450</v>
      </c>
      <c r="C457" s="272" t="s">
        <v>1738</v>
      </c>
      <c r="F457" s="273"/>
      <c r="G457" s="274" t="s">
        <v>130</v>
      </c>
      <c r="H457" s="277"/>
      <c r="I457" s="276"/>
    </row>
    <row r="458" spans="2:9" hidden="1" x14ac:dyDescent="0.25">
      <c r="B458" s="271">
        <f t="shared" si="6"/>
        <v>451</v>
      </c>
      <c r="C458" s="272" t="s">
        <v>1724</v>
      </c>
      <c r="F458" s="273"/>
      <c r="G458" s="274" t="s">
        <v>130</v>
      </c>
      <c r="H458" s="277"/>
      <c r="I458" s="276"/>
    </row>
    <row r="459" spans="2:9" hidden="1" x14ac:dyDescent="0.25">
      <c r="B459" s="271">
        <f t="shared" si="6"/>
        <v>452</v>
      </c>
      <c r="C459" s="272" t="s">
        <v>1725</v>
      </c>
      <c r="F459" s="273"/>
      <c r="G459" s="274" t="s">
        <v>130</v>
      </c>
      <c r="H459" s="277"/>
      <c r="I459" s="276"/>
    </row>
    <row r="460" spans="2:9" hidden="1" x14ac:dyDescent="0.25">
      <c r="B460" s="271">
        <f t="shared" si="6"/>
        <v>453</v>
      </c>
      <c r="C460" s="272" t="s">
        <v>1726</v>
      </c>
      <c r="F460" s="273"/>
      <c r="G460" s="274" t="s">
        <v>130</v>
      </c>
      <c r="H460" s="277"/>
      <c r="I460" s="276"/>
    </row>
    <row r="461" spans="2:9" hidden="1" x14ac:dyDescent="0.25">
      <c r="B461" s="271">
        <f t="shared" si="6"/>
        <v>454</v>
      </c>
      <c r="C461" s="272" t="s">
        <v>1727</v>
      </c>
      <c r="F461" s="273"/>
      <c r="G461" s="274" t="s">
        <v>130</v>
      </c>
      <c r="H461" s="277"/>
      <c r="I461" s="276"/>
    </row>
    <row r="462" spans="2:9" hidden="1" x14ac:dyDescent="0.25">
      <c r="B462" s="271">
        <f t="shared" si="6"/>
        <v>455</v>
      </c>
      <c r="C462" s="272" t="s">
        <v>1728</v>
      </c>
      <c r="F462" s="273"/>
      <c r="G462" s="274" t="s">
        <v>130</v>
      </c>
      <c r="H462" s="277"/>
      <c r="I462" s="276"/>
    </row>
    <row r="463" spans="2:9" hidden="1" x14ac:dyDescent="0.25">
      <c r="B463" s="271">
        <f t="shared" si="6"/>
        <v>456</v>
      </c>
      <c r="C463" s="272" t="s">
        <v>1729</v>
      </c>
      <c r="F463" s="273"/>
      <c r="G463" s="274" t="s">
        <v>130</v>
      </c>
      <c r="H463" s="277"/>
      <c r="I463" s="276"/>
    </row>
    <row r="464" spans="2:9" hidden="1" x14ac:dyDescent="0.25">
      <c r="B464" s="271">
        <f t="shared" si="6"/>
        <v>457</v>
      </c>
      <c r="C464" s="272" t="s">
        <v>1730</v>
      </c>
      <c r="F464" s="273"/>
      <c r="G464" s="274" t="s">
        <v>130</v>
      </c>
      <c r="H464" s="277"/>
      <c r="I464" s="276"/>
    </row>
    <row r="465" spans="2:9" hidden="1" x14ac:dyDescent="0.25">
      <c r="B465" s="271">
        <f t="shared" si="6"/>
        <v>458</v>
      </c>
      <c r="C465" s="272" t="s">
        <v>1731</v>
      </c>
      <c r="F465" s="273"/>
      <c r="G465" s="274" t="s">
        <v>130</v>
      </c>
      <c r="H465" s="277"/>
      <c r="I465" s="276"/>
    </row>
    <row r="466" spans="2:9" hidden="1" x14ac:dyDescent="0.25">
      <c r="B466" s="271">
        <f t="shared" si="6"/>
        <v>459</v>
      </c>
      <c r="C466" s="272" t="s">
        <v>1733</v>
      </c>
      <c r="F466" s="273"/>
      <c r="G466" s="274" t="s">
        <v>130</v>
      </c>
      <c r="H466" s="277"/>
      <c r="I466" s="276"/>
    </row>
    <row r="467" spans="2:9" hidden="1" x14ac:dyDescent="0.25">
      <c r="B467" s="271">
        <f t="shared" ref="B467:B479" si="7">B466+1</f>
        <v>460</v>
      </c>
      <c r="C467" s="272" t="s">
        <v>1734</v>
      </c>
      <c r="F467" s="273"/>
      <c r="G467" s="274" t="s">
        <v>130</v>
      </c>
      <c r="H467" s="277"/>
      <c r="I467" s="276"/>
    </row>
    <row r="468" spans="2:9" hidden="1" x14ac:dyDescent="0.25">
      <c r="B468" s="271">
        <f t="shared" si="7"/>
        <v>461</v>
      </c>
      <c r="C468" s="272" t="s">
        <v>1735</v>
      </c>
      <c r="F468" s="273"/>
      <c r="G468" s="274" t="s">
        <v>130</v>
      </c>
      <c r="H468" s="277"/>
      <c r="I468" s="276"/>
    </row>
    <row r="469" spans="2:9" x14ac:dyDescent="0.25">
      <c r="B469" s="271">
        <f t="shared" si="7"/>
        <v>462</v>
      </c>
      <c r="C469" s="272" t="s">
        <v>815</v>
      </c>
      <c r="F469" s="273"/>
      <c r="G469" s="274" t="s">
        <v>816</v>
      </c>
      <c r="H469" s="277">
        <v>95250</v>
      </c>
      <c r="I469" s="276"/>
    </row>
    <row r="470" spans="2:9" x14ac:dyDescent="0.25">
      <c r="B470" s="271">
        <f t="shared" si="7"/>
        <v>463</v>
      </c>
      <c r="C470" s="272" t="s">
        <v>778</v>
      </c>
      <c r="F470" s="273"/>
      <c r="G470" s="274" t="s">
        <v>82</v>
      </c>
      <c r="H470" s="277">
        <v>95250</v>
      </c>
      <c r="I470" s="276"/>
    </row>
    <row r="471" spans="2:9" x14ac:dyDescent="0.25">
      <c r="B471" s="271">
        <f t="shared" si="7"/>
        <v>464</v>
      </c>
      <c r="C471" s="272" t="s">
        <v>1486</v>
      </c>
      <c r="F471" s="273"/>
      <c r="G471" s="274" t="s">
        <v>636</v>
      </c>
      <c r="H471" s="277">
        <v>146050</v>
      </c>
      <c r="I471" s="276"/>
    </row>
    <row r="472" spans="2:9" x14ac:dyDescent="0.25">
      <c r="B472" s="271">
        <f t="shared" si="7"/>
        <v>465</v>
      </c>
      <c r="C472" s="272" t="s">
        <v>1127</v>
      </c>
      <c r="F472" s="273"/>
      <c r="G472" s="274" t="s">
        <v>418</v>
      </c>
      <c r="H472" s="277">
        <v>20570</v>
      </c>
      <c r="I472" s="276"/>
    </row>
    <row r="473" spans="2:9" x14ac:dyDescent="0.25">
      <c r="B473" s="271">
        <f t="shared" si="7"/>
        <v>466</v>
      </c>
      <c r="C473" s="272" t="s">
        <v>1506</v>
      </c>
      <c r="F473" s="273"/>
      <c r="G473" s="274" t="s">
        <v>82</v>
      </c>
      <c r="H473" s="277">
        <v>43750</v>
      </c>
      <c r="I473" s="276"/>
    </row>
    <row r="474" spans="2:9" x14ac:dyDescent="0.25">
      <c r="B474" s="271">
        <f t="shared" si="7"/>
        <v>467</v>
      </c>
      <c r="C474" s="272" t="s">
        <v>1130</v>
      </c>
      <c r="F474" s="273"/>
      <c r="G474" s="274" t="s">
        <v>127</v>
      </c>
      <c r="H474" s="277">
        <v>25000</v>
      </c>
      <c r="I474" s="276"/>
    </row>
    <row r="475" spans="2:9" x14ac:dyDescent="0.25">
      <c r="B475" s="271">
        <f t="shared" si="7"/>
        <v>468</v>
      </c>
      <c r="C475" s="272" t="s">
        <v>1546</v>
      </c>
      <c r="F475" s="273"/>
      <c r="G475" s="274" t="s">
        <v>1534</v>
      </c>
      <c r="H475" s="277">
        <v>380000</v>
      </c>
      <c r="I475" s="276"/>
    </row>
    <row r="476" spans="2:9" x14ac:dyDescent="0.25">
      <c r="B476" s="271">
        <f t="shared" si="7"/>
        <v>469</v>
      </c>
      <c r="C476" s="272" t="s">
        <v>1569</v>
      </c>
      <c r="F476" s="273"/>
      <c r="G476" s="274" t="s">
        <v>418</v>
      </c>
      <c r="H476" s="277">
        <v>87400</v>
      </c>
      <c r="I476" s="276"/>
    </row>
    <row r="477" spans="2:9" x14ac:dyDescent="0.25">
      <c r="B477" s="271">
        <f t="shared" si="7"/>
        <v>470</v>
      </c>
      <c r="C477" s="272" t="s">
        <v>568</v>
      </c>
      <c r="F477" s="273"/>
      <c r="G477" s="274" t="s">
        <v>127</v>
      </c>
      <c r="H477" s="277">
        <v>92800</v>
      </c>
      <c r="I477" s="276"/>
    </row>
    <row r="478" spans="2:9" x14ac:dyDescent="0.25">
      <c r="B478" s="271">
        <f t="shared" si="7"/>
        <v>471</v>
      </c>
      <c r="C478" s="272" t="s">
        <v>571</v>
      </c>
      <c r="F478" s="273"/>
      <c r="G478" s="274" t="s">
        <v>127</v>
      </c>
      <c r="H478" s="277">
        <v>93600</v>
      </c>
      <c r="I478" s="276"/>
    </row>
    <row r="479" spans="2:9" x14ac:dyDescent="0.25">
      <c r="B479" s="271">
        <f t="shared" si="7"/>
        <v>472</v>
      </c>
      <c r="C479" s="272" t="s">
        <v>574</v>
      </c>
      <c r="F479" s="273"/>
      <c r="G479" s="274" t="s">
        <v>127</v>
      </c>
      <c r="H479" s="277">
        <v>118750</v>
      </c>
      <c r="I479" s="276"/>
    </row>
    <row r="480" spans="2:9" x14ac:dyDescent="0.25">
      <c r="B480" s="271">
        <f>B479+1</f>
        <v>473</v>
      </c>
      <c r="C480" s="272" t="s">
        <v>1794</v>
      </c>
      <c r="D480" s="598"/>
      <c r="E480" s="598"/>
      <c r="F480" s="273"/>
      <c r="G480" s="274" t="s">
        <v>133</v>
      </c>
      <c r="H480" s="277">
        <v>34500</v>
      </c>
      <c r="I480" s="276"/>
    </row>
    <row r="481" spans="2:9" x14ac:dyDescent="0.25">
      <c r="B481" s="271">
        <f>B480+1</f>
        <v>474</v>
      </c>
      <c r="C481" s="272" t="s">
        <v>1795</v>
      </c>
      <c r="F481" s="273"/>
      <c r="G481" s="274" t="s">
        <v>133</v>
      </c>
      <c r="H481" s="277">
        <v>23000</v>
      </c>
      <c r="I481" s="276"/>
    </row>
    <row r="482" spans="2:9" x14ac:dyDescent="0.25">
      <c r="B482" s="271">
        <f t="shared" ref="B482:B486" si="8">B481+1</f>
        <v>475</v>
      </c>
      <c r="C482" s="272" t="s">
        <v>1796</v>
      </c>
      <c r="F482" s="273"/>
      <c r="G482" s="274" t="s">
        <v>133</v>
      </c>
      <c r="H482" s="277">
        <v>40250</v>
      </c>
      <c r="I482" s="276"/>
    </row>
    <row r="483" spans="2:9" x14ac:dyDescent="0.25">
      <c r="B483" s="271">
        <f t="shared" si="8"/>
        <v>476</v>
      </c>
      <c r="C483" s="272" t="s">
        <v>1797</v>
      </c>
      <c r="F483" s="273"/>
      <c r="G483" s="274" t="s">
        <v>133</v>
      </c>
      <c r="H483" s="277">
        <v>115000</v>
      </c>
      <c r="I483" s="276"/>
    </row>
    <row r="484" spans="2:9" x14ac:dyDescent="0.25">
      <c r="B484" s="271">
        <f t="shared" si="8"/>
        <v>477</v>
      </c>
      <c r="C484" s="272" t="s">
        <v>1798</v>
      </c>
      <c r="F484" s="273"/>
      <c r="G484" s="274" t="s">
        <v>133</v>
      </c>
      <c r="H484" s="277">
        <v>103500</v>
      </c>
      <c r="I484" s="276"/>
    </row>
    <row r="485" spans="2:9" x14ac:dyDescent="0.25">
      <c r="B485" s="271">
        <f t="shared" si="8"/>
        <v>478</v>
      </c>
      <c r="C485" s="272" t="s">
        <v>1799</v>
      </c>
      <c r="F485" s="273"/>
      <c r="G485" s="274" t="s">
        <v>133</v>
      </c>
      <c r="H485" s="277">
        <v>172500</v>
      </c>
      <c r="I485" s="276"/>
    </row>
    <row r="486" spans="2:9" x14ac:dyDescent="0.25">
      <c r="B486" s="271">
        <f t="shared" si="8"/>
        <v>479</v>
      </c>
      <c r="C486" s="272" t="s">
        <v>1800</v>
      </c>
      <c r="F486" s="273"/>
      <c r="G486" s="274" t="s">
        <v>1833</v>
      </c>
      <c r="H486" s="277">
        <v>160000</v>
      </c>
      <c r="I486" s="276"/>
    </row>
    <row r="487" spans="2:9" x14ac:dyDescent="0.25">
      <c r="B487" s="271"/>
      <c r="C487" s="272"/>
      <c r="F487" s="273"/>
      <c r="G487" s="274"/>
      <c r="H487" s="277"/>
      <c r="I487" s="276"/>
    </row>
    <row r="488" spans="2:9" x14ac:dyDescent="0.25">
      <c r="B488" s="271"/>
      <c r="C488" s="272"/>
      <c r="F488" s="273"/>
      <c r="G488" s="274"/>
      <c r="H488" s="277"/>
      <c r="I488" s="276"/>
    </row>
    <row r="489" spans="2:9" x14ac:dyDescent="0.25">
      <c r="B489" s="271"/>
      <c r="C489" s="287" t="s">
        <v>1834</v>
      </c>
      <c r="F489" s="273"/>
      <c r="G489" s="274"/>
      <c r="H489" s="277"/>
      <c r="I489" s="276"/>
    </row>
    <row r="490" spans="2:9" x14ac:dyDescent="0.25">
      <c r="B490" s="271">
        <v>1</v>
      </c>
      <c r="C490" s="288" t="s">
        <v>1732</v>
      </c>
      <c r="F490" s="273"/>
      <c r="G490" s="274" t="s">
        <v>1835</v>
      </c>
      <c r="H490" s="277">
        <v>1291500</v>
      </c>
      <c r="I490" s="276"/>
    </row>
    <row r="491" spans="2:9" x14ac:dyDescent="0.25">
      <c r="B491" s="271">
        <f>B490+1</f>
        <v>2</v>
      </c>
      <c r="C491" s="289" t="s">
        <v>1717</v>
      </c>
      <c r="F491" s="273"/>
      <c r="G491" s="274" t="s">
        <v>1836</v>
      </c>
      <c r="H491" s="277">
        <v>280800</v>
      </c>
      <c r="I491" s="276"/>
    </row>
    <row r="492" spans="2:9" x14ac:dyDescent="0.25">
      <c r="B492" s="271">
        <f t="shared" ref="B492:B504" si="9">B491+1</f>
        <v>3</v>
      </c>
      <c r="C492" s="289" t="s">
        <v>1718</v>
      </c>
      <c r="F492" s="273"/>
      <c r="G492" s="274" t="s">
        <v>1836</v>
      </c>
      <c r="H492" s="277">
        <v>767000</v>
      </c>
      <c r="I492" s="276"/>
    </row>
    <row r="493" spans="2:9" x14ac:dyDescent="0.25">
      <c r="B493" s="271">
        <f t="shared" si="9"/>
        <v>4</v>
      </c>
      <c r="C493" s="289" t="s">
        <v>1723</v>
      </c>
      <c r="F493" s="273"/>
      <c r="G493" s="274" t="s">
        <v>1836</v>
      </c>
      <c r="H493" s="277">
        <v>767000</v>
      </c>
      <c r="I493" s="276"/>
    </row>
    <row r="494" spans="2:9" x14ac:dyDescent="0.25">
      <c r="B494" s="271">
        <f t="shared" si="9"/>
        <v>5</v>
      </c>
      <c r="C494" t="s">
        <v>742</v>
      </c>
      <c r="F494" s="273"/>
      <c r="G494" s="274" t="s">
        <v>731</v>
      </c>
      <c r="H494" s="277">
        <v>150000</v>
      </c>
      <c r="I494" s="276"/>
    </row>
    <row r="495" spans="2:9" x14ac:dyDescent="0.25">
      <c r="B495" s="271">
        <f t="shared" si="9"/>
        <v>6</v>
      </c>
      <c r="C495" s="289" t="s">
        <v>1754</v>
      </c>
      <c r="F495" s="273"/>
      <c r="G495" s="274" t="s">
        <v>1836</v>
      </c>
      <c r="H495" s="277">
        <v>393750</v>
      </c>
      <c r="I495" s="276"/>
    </row>
    <row r="496" spans="2:9" x14ac:dyDescent="0.25">
      <c r="B496" s="271">
        <f t="shared" si="9"/>
        <v>7</v>
      </c>
      <c r="C496" s="289" t="s">
        <v>1755</v>
      </c>
      <c r="F496" s="273"/>
      <c r="G496" s="274" t="s">
        <v>1836</v>
      </c>
      <c r="H496" s="277">
        <v>358750</v>
      </c>
      <c r="I496" s="276"/>
    </row>
    <row r="497" spans="2:9" x14ac:dyDescent="0.25">
      <c r="B497" s="271">
        <f t="shared" si="9"/>
        <v>8</v>
      </c>
      <c r="C497" s="289" t="s">
        <v>1638</v>
      </c>
      <c r="F497" s="273"/>
      <c r="G497" s="274" t="s">
        <v>1836</v>
      </c>
      <c r="H497" s="277">
        <v>562280</v>
      </c>
      <c r="I497" s="276"/>
    </row>
    <row r="498" spans="2:9" x14ac:dyDescent="0.25">
      <c r="B498" s="271">
        <f t="shared" si="9"/>
        <v>9</v>
      </c>
      <c r="C498" s="272" t="s">
        <v>697</v>
      </c>
      <c r="F498" s="273"/>
      <c r="G498" s="274" t="s">
        <v>1836</v>
      </c>
      <c r="H498" s="277">
        <v>1540000</v>
      </c>
      <c r="I498" s="276"/>
    </row>
    <row r="499" spans="2:9" x14ac:dyDescent="0.25">
      <c r="B499" s="271">
        <f t="shared" si="9"/>
        <v>10</v>
      </c>
      <c r="C499" s="272" t="s">
        <v>1837</v>
      </c>
      <c r="F499" s="273"/>
      <c r="G499" s="274" t="s">
        <v>1836</v>
      </c>
      <c r="H499" s="277">
        <v>396800</v>
      </c>
      <c r="I499" s="276"/>
    </row>
    <row r="500" spans="2:9" x14ac:dyDescent="0.25">
      <c r="B500" s="290">
        <f t="shared" si="9"/>
        <v>11</v>
      </c>
      <c r="C500" s="272" t="s">
        <v>1692</v>
      </c>
      <c r="F500" s="273"/>
      <c r="G500" s="274" t="s">
        <v>1836</v>
      </c>
      <c r="H500" s="277">
        <v>1997520</v>
      </c>
      <c r="I500" s="276"/>
    </row>
    <row r="501" spans="2:9" x14ac:dyDescent="0.25">
      <c r="B501" s="290">
        <f t="shared" si="9"/>
        <v>12</v>
      </c>
      <c r="C501" s="291" t="s">
        <v>1812</v>
      </c>
      <c r="F501" s="273"/>
      <c r="G501" s="274" t="s">
        <v>1835</v>
      </c>
      <c r="H501" s="277">
        <v>3500000</v>
      </c>
      <c r="I501" s="276"/>
    </row>
    <row r="502" spans="2:9" x14ac:dyDescent="0.25">
      <c r="B502" s="290">
        <f t="shared" si="9"/>
        <v>13</v>
      </c>
      <c r="C502" s="291" t="s">
        <v>1813</v>
      </c>
      <c r="F502" s="273"/>
      <c r="G502" s="274"/>
      <c r="H502" s="277"/>
      <c r="I502" s="276"/>
    </row>
    <row r="503" spans="2:9" x14ac:dyDescent="0.25">
      <c r="B503" s="290">
        <f t="shared" si="9"/>
        <v>14</v>
      </c>
      <c r="C503" s="291" t="s">
        <v>1814</v>
      </c>
      <c r="F503" s="273"/>
      <c r="G503" s="274" t="s">
        <v>1835</v>
      </c>
      <c r="H503" s="277">
        <v>750000</v>
      </c>
      <c r="I503" s="276"/>
    </row>
    <row r="504" spans="2:9" x14ac:dyDescent="0.25">
      <c r="B504" s="290">
        <f t="shared" si="9"/>
        <v>15</v>
      </c>
      <c r="C504" s="291" t="s">
        <v>1815</v>
      </c>
      <c r="F504" s="273"/>
      <c r="G504" s="274" t="s">
        <v>1835</v>
      </c>
      <c r="H504" s="277">
        <v>505500</v>
      </c>
      <c r="I504" s="276"/>
    </row>
    <row r="505" spans="2:9" x14ac:dyDescent="0.25">
      <c r="B505" s="290"/>
      <c r="C505" s="272"/>
      <c r="F505" s="273"/>
      <c r="G505" s="274"/>
      <c r="H505" s="277"/>
      <c r="I505" s="276"/>
    </row>
    <row r="506" spans="2:9" x14ac:dyDescent="0.25">
      <c r="B506" s="292"/>
      <c r="C506" s="293"/>
      <c r="D506" s="294"/>
      <c r="E506" s="294"/>
      <c r="F506" s="295"/>
      <c r="G506" s="296"/>
      <c r="H506" s="297"/>
      <c r="I506" s="298"/>
    </row>
    <row r="507" spans="2:9" x14ac:dyDescent="0.25">
      <c r="B507" s="292"/>
      <c r="C507" s="293"/>
      <c r="D507" s="294"/>
      <c r="E507" s="294"/>
      <c r="F507" s="295"/>
      <c r="G507" s="296"/>
      <c r="H507" s="297"/>
      <c r="I507" s="298"/>
    </row>
    <row r="508" spans="2:9" x14ac:dyDescent="0.25">
      <c r="B508" s="271"/>
      <c r="C508" s="272"/>
      <c r="F508" s="273"/>
      <c r="G508" s="274"/>
      <c r="H508" s="277"/>
      <c r="I508" s="276"/>
    </row>
    <row r="509" spans="2:9" x14ac:dyDescent="0.25">
      <c r="B509" s="271"/>
      <c r="C509" s="272"/>
      <c r="F509" s="273"/>
      <c r="G509" s="274"/>
      <c r="H509" s="277"/>
      <c r="I509" s="276"/>
    </row>
    <row r="510" spans="2:9" x14ac:dyDescent="0.25">
      <c r="B510" s="271"/>
      <c r="C510" s="272"/>
      <c r="F510" s="273"/>
      <c r="G510" s="274"/>
      <c r="H510" s="277"/>
      <c r="I510" s="276"/>
    </row>
    <row r="511" spans="2:9" ht="15.75" thickBot="1" x14ac:dyDescent="0.3">
      <c r="B511" s="299"/>
      <c r="C511" s="300"/>
      <c r="D511" s="301"/>
      <c r="E511" s="301"/>
      <c r="F511" s="302"/>
      <c r="G511" s="303"/>
      <c r="H511" s="304"/>
      <c r="I511" s="305"/>
    </row>
  </sheetData>
  <mergeCells count="6">
    <mergeCell ref="B2:I2"/>
    <mergeCell ref="B4:B5"/>
    <mergeCell ref="C4:F5"/>
    <mergeCell ref="G4:G5"/>
    <mergeCell ref="H4:H5"/>
    <mergeCell ref="I4:I5"/>
  </mergeCells>
  <printOptions horizontalCentered="1"/>
  <pageMargins left="0.45866141700000002" right="0.45866141700000002" top="0.74803149606299202" bottom="0.24803149599999999" header="0.31496062992126" footer="0.31496062992126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9F177-0141-49B7-91F9-F66673D526E0}">
  <sheetPr>
    <tabColor theme="4"/>
  </sheetPr>
  <dimension ref="C3:P57"/>
  <sheetViews>
    <sheetView showGridLines="0" topLeftCell="A86" zoomScaleNormal="100" workbookViewId="0">
      <selection activeCell="M39" sqref="M39"/>
    </sheetView>
  </sheetViews>
  <sheetFormatPr defaultRowHeight="13.5" x14ac:dyDescent="0.25"/>
  <cols>
    <col min="1" max="1" width="9.140625" style="306"/>
    <col min="2" max="2" width="2" style="306" customWidth="1"/>
    <col min="3" max="3" width="6.7109375" style="584" customWidth="1"/>
    <col min="4" max="4" width="1.7109375" style="306" customWidth="1"/>
    <col min="5" max="10" width="9.140625" style="306"/>
    <col min="11" max="12" width="18.85546875" style="306" customWidth="1"/>
    <col min="13" max="13" width="15.28515625" style="306" customWidth="1"/>
    <col min="14" max="14" width="2" style="306" customWidth="1"/>
    <col min="15" max="16384" width="9.140625" style="306"/>
  </cols>
  <sheetData>
    <row r="3" spans="3:16" ht="18" customHeight="1" x14ac:dyDescent="0.25">
      <c r="C3" s="497" t="s">
        <v>1838</v>
      </c>
      <c r="D3" s="497"/>
      <c r="E3" s="497"/>
      <c r="F3" s="497"/>
      <c r="G3" s="497"/>
      <c r="H3" s="497"/>
      <c r="I3" s="497"/>
      <c r="J3" s="497"/>
      <c r="K3" s="497"/>
      <c r="L3" s="497"/>
      <c r="M3" s="497"/>
    </row>
    <row r="4" spans="3:16" ht="18" customHeight="1" thickBot="1" x14ac:dyDescent="0.3"/>
    <row r="5" spans="3:16" s="307" customFormat="1" ht="18" customHeight="1" x14ac:dyDescent="0.25">
      <c r="C5" s="498" t="s">
        <v>1826</v>
      </c>
      <c r="D5" s="500" t="s">
        <v>1839</v>
      </c>
      <c r="E5" s="500"/>
      <c r="F5" s="500"/>
      <c r="G5" s="500"/>
      <c r="H5" s="500"/>
      <c r="I5" s="500" t="s">
        <v>360</v>
      </c>
      <c r="J5" s="500" t="s">
        <v>330</v>
      </c>
      <c r="K5" s="500" t="s">
        <v>362</v>
      </c>
      <c r="L5" s="500"/>
      <c r="M5" s="502" t="s">
        <v>1829</v>
      </c>
      <c r="P5" s="496" t="s">
        <v>1840</v>
      </c>
    </row>
    <row r="6" spans="3:16" s="307" customFormat="1" ht="18" customHeight="1" thickBot="1" x14ac:dyDescent="0.3">
      <c r="C6" s="499"/>
      <c r="D6" s="501"/>
      <c r="E6" s="501"/>
      <c r="F6" s="501"/>
      <c r="G6" s="501"/>
      <c r="H6" s="501"/>
      <c r="I6" s="501"/>
      <c r="J6" s="501"/>
      <c r="K6" s="308" t="s">
        <v>731</v>
      </c>
      <c r="L6" s="308" t="s">
        <v>1836</v>
      </c>
      <c r="M6" s="503"/>
      <c r="P6" s="496"/>
    </row>
    <row r="7" spans="3:16" ht="18" customHeight="1" thickBot="1" x14ac:dyDescent="0.3">
      <c r="C7" s="585"/>
      <c r="D7" s="309"/>
      <c r="E7" s="310"/>
      <c r="F7" s="310"/>
      <c r="G7" s="310"/>
      <c r="H7" s="311"/>
      <c r="I7" s="312"/>
      <c r="J7" s="312"/>
      <c r="K7" s="312"/>
      <c r="L7" s="312"/>
      <c r="M7" s="313"/>
    </row>
    <row r="8" spans="3:16" ht="18" customHeight="1" thickBot="1" x14ac:dyDescent="0.3">
      <c r="C8" s="586">
        <v>1</v>
      </c>
      <c r="D8" s="314"/>
      <c r="E8" s="315" t="s">
        <v>366</v>
      </c>
      <c r="F8" s="315"/>
      <c r="G8" s="315"/>
      <c r="H8" s="316"/>
      <c r="I8" s="317" t="s">
        <v>1841</v>
      </c>
      <c r="J8" s="317" t="s">
        <v>368</v>
      </c>
      <c r="K8" s="318">
        <f>TRUNC(L8/$P$8,-2)</f>
        <v>15600</v>
      </c>
      <c r="L8" s="318">
        <v>125000</v>
      </c>
      <c r="M8" s="319"/>
      <c r="P8" s="320">
        <v>8</v>
      </c>
    </row>
    <row r="9" spans="3:16" ht="18" customHeight="1" x14ac:dyDescent="0.25">
      <c r="C9" s="586">
        <f>C8+1</f>
        <v>2</v>
      </c>
      <c r="D9" s="314"/>
      <c r="E9" s="315" t="s">
        <v>1804</v>
      </c>
      <c r="F9" s="315"/>
      <c r="G9" s="315"/>
      <c r="H9" s="316"/>
      <c r="I9" s="317" t="s">
        <v>1841</v>
      </c>
      <c r="J9" s="317" t="s">
        <v>368</v>
      </c>
      <c r="K9" s="318">
        <f>TRUNC(L9/$P$8,-2)</f>
        <v>15600</v>
      </c>
      <c r="L9" s="318">
        <v>125000</v>
      </c>
      <c r="M9" s="319"/>
    </row>
    <row r="10" spans="3:16" ht="18" customHeight="1" x14ac:dyDescent="0.25">
      <c r="C10" s="586">
        <f t="shared" ref="C10:C11" si="0">C9+1</f>
        <v>3</v>
      </c>
      <c r="D10" s="314"/>
      <c r="E10" s="315" t="s">
        <v>1805</v>
      </c>
      <c r="F10" s="315"/>
      <c r="G10" s="315"/>
      <c r="H10" s="316"/>
      <c r="I10" s="317" t="s">
        <v>1841</v>
      </c>
      <c r="J10" s="317" t="s">
        <v>368</v>
      </c>
      <c r="K10" s="318">
        <f>TRUNC(L10/$P$8,-2)</f>
        <v>15600</v>
      </c>
      <c r="L10" s="318">
        <v>125000</v>
      </c>
      <c r="M10" s="319"/>
    </row>
    <row r="11" spans="3:16" ht="18" customHeight="1" x14ac:dyDescent="0.25">
      <c r="C11" s="586">
        <f t="shared" si="0"/>
        <v>4</v>
      </c>
      <c r="D11" s="314"/>
      <c r="E11" s="315" t="s">
        <v>455</v>
      </c>
      <c r="F11" s="315"/>
      <c r="G11" s="315"/>
      <c r="H11" s="316"/>
      <c r="I11" s="317" t="s">
        <v>1842</v>
      </c>
      <c r="J11" s="317" t="s">
        <v>368</v>
      </c>
      <c r="K11" s="318">
        <f t="shared" ref="K11:K43" si="1">TRUNC(L11/$P$8,-2)</f>
        <v>18700</v>
      </c>
      <c r="L11" s="318">
        <v>150000</v>
      </c>
      <c r="M11" s="319"/>
    </row>
    <row r="12" spans="3:16" ht="18" customHeight="1" x14ac:dyDescent="0.25">
      <c r="C12" s="586">
        <f>C11+1</f>
        <v>5</v>
      </c>
      <c r="D12" s="314"/>
      <c r="E12" s="315" t="s">
        <v>1843</v>
      </c>
      <c r="F12" s="315"/>
      <c r="G12" s="315"/>
      <c r="H12" s="316"/>
      <c r="I12" s="317" t="s">
        <v>1842</v>
      </c>
      <c r="J12" s="317" t="s">
        <v>368</v>
      </c>
      <c r="K12" s="318">
        <f t="shared" si="1"/>
        <v>15600</v>
      </c>
      <c r="L12" s="318">
        <f>$L$8</f>
        <v>125000</v>
      </c>
      <c r="M12" s="319"/>
    </row>
    <row r="13" spans="3:16" ht="18" customHeight="1" x14ac:dyDescent="0.25">
      <c r="C13" s="586">
        <f t="shared" ref="C13:C43" si="2">C12+1</f>
        <v>6</v>
      </c>
      <c r="D13" s="314"/>
      <c r="E13" s="315" t="s">
        <v>505</v>
      </c>
      <c r="F13" s="315"/>
      <c r="G13" s="315"/>
      <c r="H13" s="316"/>
      <c r="I13" s="317" t="s">
        <v>1842</v>
      </c>
      <c r="J13" s="317" t="s">
        <v>368</v>
      </c>
      <c r="K13" s="318">
        <f t="shared" si="1"/>
        <v>18700</v>
      </c>
      <c r="L13" s="318">
        <f t="shared" ref="L13:L23" si="3">$L$11</f>
        <v>150000</v>
      </c>
      <c r="M13" s="319"/>
    </row>
    <row r="14" spans="3:16" ht="18" customHeight="1" x14ac:dyDescent="0.25">
      <c r="C14" s="586">
        <f t="shared" si="2"/>
        <v>7</v>
      </c>
      <c r="D14" s="314"/>
      <c r="E14" s="315" t="s">
        <v>369</v>
      </c>
      <c r="F14" s="315"/>
      <c r="G14" s="315"/>
      <c r="H14" s="316"/>
      <c r="I14" s="317" t="s">
        <v>1842</v>
      </c>
      <c r="J14" s="317" t="s">
        <v>368</v>
      </c>
      <c r="K14" s="318">
        <f t="shared" si="1"/>
        <v>18700</v>
      </c>
      <c r="L14" s="318">
        <f t="shared" si="3"/>
        <v>150000</v>
      </c>
      <c r="M14" s="319"/>
    </row>
    <row r="15" spans="3:16" ht="18" customHeight="1" x14ac:dyDescent="0.25">
      <c r="C15" s="586">
        <f t="shared" si="2"/>
        <v>8</v>
      </c>
      <c r="D15" s="314"/>
      <c r="E15" s="315" t="s">
        <v>577</v>
      </c>
      <c r="F15" s="315"/>
      <c r="G15" s="315"/>
      <c r="H15" s="316"/>
      <c r="I15" s="317" t="s">
        <v>1842</v>
      </c>
      <c r="J15" s="317" t="s">
        <v>368</v>
      </c>
      <c r="K15" s="318">
        <f t="shared" si="1"/>
        <v>18700</v>
      </c>
      <c r="L15" s="318">
        <f t="shared" si="3"/>
        <v>150000</v>
      </c>
      <c r="M15" s="319"/>
    </row>
    <row r="16" spans="3:16" ht="18" customHeight="1" x14ac:dyDescent="0.25">
      <c r="C16" s="586">
        <f t="shared" si="2"/>
        <v>9</v>
      </c>
      <c r="D16" s="314"/>
      <c r="E16" s="315" t="s">
        <v>727</v>
      </c>
      <c r="F16" s="315"/>
      <c r="G16" s="315"/>
      <c r="H16" s="316"/>
      <c r="I16" s="317" t="s">
        <v>1842</v>
      </c>
      <c r="J16" s="317" t="s">
        <v>368</v>
      </c>
      <c r="K16" s="318">
        <f t="shared" si="1"/>
        <v>18700</v>
      </c>
      <c r="L16" s="318">
        <f>$L$11</f>
        <v>150000</v>
      </c>
      <c r="M16" s="319"/>
    </row>
    <row r="17" spans="3:13" ht="18" customHeight="1" x14ac:dyDescent="0.25">
      <c r="C17" s="586">
        <f t="shared" si="2"/>
        <v>10</v>
      </c>
      <c r="D17" s="314"/>
      <c r="E17" s="315" t="s">
        <v>760</v>
      </c>
      <c r="F17" s="315"/>
      <c r="G17" s="315"/>
      <c r="H17" s="316"/>
      <c r="I17" s="317" t="s">
        <v>1842</v>
      </c>
      <c r="J17" s="317" t="s">
        <v>368</v>
      </c>
      <c r="K17" s="318">
        <f t="shared" si="1"/>
        <v>18700</v>
      </c>
      <c r="L17" s="318">
        <f>$L$11</f>
        <v>150000</v>
      </c>
      <c r="M17" s="319"/>
    </row>
    <row r="18" spans="3:13" ht="18" customHeight="1" x14ac:dyDescent="0.25">
      <c r="C18" s="586">
        <f t="shared" si="2"/>
        <v>11</v>
      </c>
      <c r="D18" s="314"/>
      <c r="E18" s="315" t="s">
        <v>1844</v>
      </c>
      <c r="F18" s="315"/>
      <c r="G18" s="315"/>
      <c r="H18" s="316"/>
      <c r="I18" s="317" t="s">
        <v>1842</v>
      </c>
      <c r="J18" s="317" t="s">
        <v>368</v>
      </c>
      <c r="K18" s="318">
        <f t="shared" si="1"/>
        <v>18700</v>
      </c>
      <c r="L18" s="318">
        <f t="shared" si="3"/>
        <v>150000</v>
      </c>
      <c r="M18" s="319"/>
    </row>
    <row r="19" spans="3:13" ht="18" customHeight="1" x14ac:dyDescent="0.25">
      <c r="C19" s="586">
        <f t="shared" si="2"/>
        <v>12</v>
      </c>
      <c r="D19" s="314"/>
      <c r="E19" s="315" t="s">
        <v>566</v>
      </c>
      <c r="F19" s="315"/>
      <c r="G19" s="315"/>
      <c r="H19" s="316"/>
      <c r="I19" s="317" t="s">
        <v>1842</v>
      </c>
      <c r="J19" s="317" t="s">
        <v>368</v>
      </c>
      <c r="K19" s="318">
        <f t="shared" si="1"/>
        <v>18700</v>
      </c>
      <c r="L19" s="318">
        <f t="shared" si="3"/>
        <v>150000</v>
      </c>
      <c r="M19" s="319"/>
    </row>
    <row r="20" spans="3:13" ht="18" customHeight="1" x14ac:dyDescent="0.25">
      <c r="C20" s="586">
        <f t="shared" si="2"/>
        <v>13</v>
      </c>
      <c r="D20" s="314"/>
      <c r="E20" s="315" t="s">
        <v>1806</v>
      </c>
      <c r="F20" s="315"/>
      <c r="G20" s="315"/>
      <c r="H20" s="316"/>
      <c r="I20" s="317" t="s">
        <v>1842</v>
      </c>
      <c r="J20" s="317" t="s">
        <v>368</v>
      </c>
      <c r="K20" s="318">
        <f t="shared" si="1"/>
        <v>18700</v>
      </c>
      <c r="L20" s="318">
        <f t="shared" si="3"/>
        <v>150000</v>
      </c>
      <c r="M20" s="319"/>
    </row>
    <row r="21" spans="3:13" ht="18" customHeight="1" x14ac:dyDescent="0.25">
      <c r="C21" s="586">
        <f t="shared" si="2"/>
        <v>14</v>
      </c>
      <c r="D21" s="314"/>
      <c r="E21" s="315" t="s">
        <v>1845</v>
      </c>
      <c r="F21" s="315"/>
      <c r="G21" s="315"/>
      <c r="H21" s="316"/>
      <c r="I21" s="317" t="s">
        <v>1842</v>
      </c>
      <c r="J21" s="317" t="s">
        <v>368</v>
      </c>
      <c r="K21" s="318">
        <f t="shared" si="1"/>
        <v>15600</v>
      </c>
      <c r="L21" s="318">
        <f>$L$8</f>
        <v>125000</v>
      </c>
      <c r="M21" s="319"/>
    </row>
    <row r="22" spans="3:13" ht="18" customHeight="1" x14ac:dyDescent="0.25">
      <c r="C22" s="586">
        <f t="shared" si="2"/>
        <v>15</v>
      </c>
      <c r="D22" s="314"/>
      <c r="E22" s="315" t="s">
        <v>1846</v>
      </c>
      <c r="F22" s="315"/>
      <c r="G22" s="315"/>
      <c r="H22" s="316"/>
      <c r="I22" s="317" t="s">
        <v>1842</v>
      </c>
      <c r="J22" s="317" t="s">
        <v>368</v>
      </c>
      <c r="K22" s="318">
        <f t="shared" si="1"/>
        <v>18700</v>
      </c>
      <c r="L22" s="318">
        <f t="shared" si="3"/>
        <v>150000</v>
      </c>
      <c r="M22" s="319"/>
    </row>
    <row r="23" spans="3:13" ht="18" customHeight="1" x14ac:dyDescent="0.25">
      <c r="C23" s="586">
        <f t="shared" si="2"/>
        <v>16</v>
      </c>
      <c r="D23" s="321"/>
      <c r="E23" s="322" t="s">
        <v>1847</v>
      </c>
      <c r="F23" s="315"/>
      <c r="G23" s="315"/>
      <c r="H23" s="316"/>
      <c r="I23" s="317" t="s">
        <v>1842</v>
      </c>
      <c r="J23" s="317" t="s">
        <v>368</v>
      </c>
      <c r="K23" s="318">
        <f t="shared" si="1"/>
        <v>18700</v>
      </c>
      <c r="L23" s="318">
        <f t="shared" si="3"/>
        <v>150000</v>
      </c>
      <c r="M23" s="319"/>
    </row>
    <row r="24" spans="3:13" ht="18" customHeight="1" x14ac:dyDescent="0.25">
      <c r="C24" s="586">
        <f t="shared" si="2"/>
        <v>17</v>
      </c>
      <c r="D24" s="323"/>
      <c r="E24" s="324" t="s">
        <v>734</v>
      </c>
      <c r="F24" s="315"/>
      <c r="G24" s="315"/>
      <c r="H24" s="316"/>
      <c r="I24" s="317" t="s">
        <v>1842</v>
      </c>
      <c r="J24" s="317" t="s">
        <v>368</v>
      </c>
      <c r="K24" s="318">
        <f t="shared" si="1"/>
        <v>18700</v>
      </c>
      <c r="L24" s="318">
        <f>$L$11</f>
        <v>150000</v>
      </c>
      <c r="M24" s="319"/>
    </row>
    <row r="25" spans="3:13" ht="18" customHeight="1" x14ac:dyDescent="0.25">
      <c r="C25" s="586">
        <f t="shared" si="2"/>
        <v>18</v>
      </c>
      <c r="D25" s="325"/>
      <c r="E25" s="326" t="s">
        <v>719</v>
      </c>
      <c r="F25" s="315"/>
      <c r="G25" s="315"/>
      <c r="H25" s="316"/>
      <c r="I25" s="317" t="s">
        <v>1842</v>
      </c>
      <c r="J25" s="317" t="s">
        <v>368</v>
      </c>
      <c r="K25" s="318">
        <f t="shared" si="1"/>
        <v>18700</v>
      </c>
      <c r="L25" s="318">
        <f>$L$11</f>
        <v>150000</v>
      </c>
      <c r="M25" s="319"/>
    </row>
    <row r="26" spans="3:13" ht="18" customHeight="1" x14ac:dyDescent="0.25">
      <c r="C26" s="586">
        <f t="shared" si="2"/>
        <v>19</v>
      </c>
      <c r="D26" s="327"/>
      <c r="E26" s="328" t="s">
        <v>371</v>
      </c>
      <c r="F26" s="315"/>
      <c r="G26" s="315"/>
      <c r="H26" s="316"/>
      <c r="I26" s="317" t="s">
        <v>1848</v>
      </c>
      <c r="J26" s="317" t="s">
        <v>368</v>
      </c>
      <c r="K26" s="318">
        <f t="shared" si="1"/>
        <v>20600</v>
      </c>
      <c r="L26" s="318">
        <f>L11+15000</f>
        <v>165000</v>
      </c>
      <c r="M26" s="319"/>
    </row>
    <row r="27" spans="3:13" ht="18" customHeight="1" thickBot="1" x14ac:dyDescent="0.3">
      <c r="C27" s="587">
        <f t="shared" si="2"/>
        <v>20</v>
      </c>
      <c r="D27" s="336"/>
      <c r="E27" s="337" t="s">
        <v>373</v>
      </c>
      <c r="F27" s="337"/>
      <c r="G27" s="337"/>
      <c r="H27" s="338"/>
      <c r="I27" s="594" t="s">
        <v>1849</v>
      </c>
      <c r="J27" s="594" t="s">
        <v>368</v>
      </c>
      <c r="K27" s="595">
        <f t="shared" si="1"/>
        <v>21200</v>
      </c>
      <c r="L27" s="595">
        <f>L11+20000</f>
        <v>170000</v>
      </c>
      <c r="M27" s="340"/>
    </row>
    <row r="28" spans="3:13" ht="18" customHeight="1" x14ac:dyDescent="0.25">
      <c r="C28" s="588">
        <f t="shared" si="2"/>
        <v>21</v>
      </c>
      <c r="D28" s="589"/>
      <c r="E28" s="333" t="s">
        <v>1850</v>
      </c>
      <c r="F28" s="333"/>
      <c r="G28" s="333"/>
      <c r="H28" s="590"/>
      <c r="I28" s="591" t="s">
        <v>1851</v>
      </c>
      <c r="J28" s="591" t="s">
        <v>368</v>
      </c>
      <c r="K28" s="592">
        <f t="shared" si="1"/>
        <v>20600</v>
      </c>
      <c r="L28" s="592">
        <f>$L$11*1.1</f>
        <v>165000</v>
      </c>
      <c r="M28" s="593"/>
    </row>
    <row r="29" spans="3:13" ht="18" customHeight="1" x14ac:dyDescent="0.25">
      <c r="C29" s="586">
        <f t="shared" si="2"/>
        <v>22</v>
      </c>
      <c r="D29" s="314"/>
      <c r="E29" s="315" t="s">
        <v>1852</v>
      </c>
      <c r="F29" s="315"/>
      <c r="G29" s="315"/>
      <c r="H29" s="316"/>
      <c r="I29" s="317" t="s">
        <v>1853</v>
      </c>
      <c r="J29" s="317" t="s">
        <v>368</v>
      </c>
      <c r="K29" s="318">
        <f t="shared" si="1"/>
        <v>20600</v>
      </c>
      <c r="L29" s="318">
        <f>$L$11*1.1</f>
        <v>165000</v>
      </c>
      <c r="M29" s="319"/>
    </row>
    <row r="30" spans="3:13" ht="18" customHeight="1" x14ac:dyDescent="0.25">
      <c r="C30" s="586">
        <f t="shared" si="2"/>
        <v>23</v>
      </c>
      <c r="D30" s="314"/>
      <c r="E30" s="315" t="s">
        <v>1854</v>
      </c>
      <c r="F30" s="315"/>
      <c r="G30" s="315"/>
      <c r="H30" s="316"/>
      <c r="I30" s="317" t="s">
        <v>1855</v>
      </c>
      <c r="J30" s="317" t="s">
        <v>368</v>
      </c>
      <c r="K30" s="318">
        <f t="shared" si="1"/>
        <v>20600</v>
      </c>
      <c r="L30" s="318">
        <f>$L$11*1.1</f>
        <v>165000</v>
      </c>
      <c r="M30" s="319"/>
    </row>
    <row r="31" spans="3:13" ht="18" customHeight="1" x14ac:dyDescent="0.25">
      <c r="C31" s="586">
        <f t="shared" si="2"/>
        <v>24</v>
      </c>
      <c r="D31" s="314"/>
      <c r="E31" s="315" t="s">
        <v>1856</v>
      </c>
      <c r="F31" s="315"/>
      <c r="G31" s="315"/>
      <c r="H31" s="316"/>
      <c r="I31" s="317" t="s">
        <v>1857</v>
      </c>
      <c r="J31" s="317" t="s">
        <v>368</v>
      </c>
      <c r="K31" s="318">
        <f t="shared" si="1"/>
        <v>20600</v>
      </c>
      <c r="L31" s="318">
        <f>$L$26</f>
        <v>165000</v>
      </c>
      <c r="M31" s="319"/>
    </row>
    <row r="32" spans="3:13" ht="18" customHeight="1" x14ac:dyDescent="0.25">
      <c r="C32" s="586">
        <f t="shared" si="2"/>
        <v>25</v>
      </c>
      <c r="D32" s="314"/>
      <c r="E32" s="315" t="s">
        <v>1858</v>
      </c>
      <c r="F32" s="315"/>
      <c r="G32" s="315"/>
      <c r="H32" s="316"/>
      <c r="I32" s="317" t="s">
        <v>1859</v>
      </c>
      <c r="J32" s="317" t="s">
        <v>368</v>
      </c>
      <c r="K32" s="318">
        <f t="shared" si="1"/>
        <v>18500</v>
      </c>
      <c r="L32" s="318">
        <f>$L$31*0.9</f>
        <v>148500</v>
      </c>
      <c r="M32" s="319"/>
    </row>
    <row r="33" spans="3:13" ht="18" customHeight="1" x14ac:dyDescent="0.25">
      <c r="C33" s="586">
        <f t="shared" si="2"/>
        <v>26</v>
      </c>
      <c r="D33" s="314"/>
      <c r="E33" s="315" t="s">
        <v>1719</v>
      </c>
      <c r="F33" s="315"/>
      <c r="G33" s="315"/>
      <c r="H33" s="316"/>
      <c r="I33" s="317" t="s">
        <v>1857</v>
      </c>
      <c r="J33" s="317" t="s">
        <v>368</v>
      </c>
      <c r="K33" s="318">
        <f t="shared" si="1"/>
        <v>20600</v>
      </c>
      <c r="L33" s="318">
        <f>$L$26</f>
        <v>165000</v>
      </c>
      <c r="M33" s="319"/>
    </row>
    <row r="34" spans="3:13" ht="18" customHeight="1" x14ac:dyDescent="0.25">
      <c r="C34" s="586">
        <f t="shared" si="2"/>
        <v>27</v>
      </c>
      <c r="D34" s="314"/>
      <c r="E34" s="315" t="s">
        <v>1860</v>
      </c>
      <c r="F34" s="315"/>
      <c r="G34" s="315"/>
      <c r="H34" s="316"/>
      <c r="I34" s="317" t="s">
        <v>1861</v>
      </c>
      <c r="J34" s="317" t="s">
        <v>368</v>
      </c>
      <c r="K34" s="318">
        <f t="shared" si="1"/>
        <v>20600</v>
      </c>
      <c r="L34" s="318">
        <f t="shared" ref="L34:L39" si="4">$L$11*1.1</f>
        <v>165000</v>
      </c>
      <c r="M34" s="319"/>
    </row>
    <row r="35" spans="3:13" ht="18" customHeight="1" x14ac:dyDescent="0.25">
      <c r="C35" s="586">
        <f t="shared" si="2"/>
        <v>28</v>
      </c>
      <c r="D35" s="314"/>
      <c r="E35" s="315" t="s">
        <v>1862</v>
      </c>
      <c r="F35" s="315"/>
      <c r="G35" s="315"/>
      <c r="H35" s="316"/>
      <c r="I35" s="317" t="s">
        <v>1863</v>
      </c>
      <c r="J35" s="317" t="s">
        <v>368</v>
      </c>
      <c r="K35" s="318">
        <f t="shared" si="1"/>
        <v>20600</v>
      </c>
      <c r="L35" s="318">
        <f t="shared" si="4"/>
        <v>165000</v>
      </c>
      <c r="M35" s="319"/>
    </row>
    <row r="36" spans="3:13" ht="18" customHeight="1" x14ac:dyDescent="0.25">
      <c r="C36" s="586">
        <f t="shared" si="2"/>
        <v>29</v>
      </c>
      <c r="D36" s="314"/>
      <c r="E36" s="315" t="s">
        <v>1864</v>
      </c>
      <c r="F36" s="315"/>
      <c r="G36" s="315"/>
      <c r="H36" s="316"/>
      <c r="I36" s="317" t="s">
        <v>1865</v>
      </c>
      <c r="J36" s="317" t="s">
        <v>368</v>
      </c>
      <c r="K36" s="318">
        <f t="shared" si="1"/>
        <v>20600</v>
      </c>
      <c r="L36" s="318">
        <f t="shared" si="4"/>
        <v>165000</v>
      </c>
      <c r="M36" s="319"/>
    </row>
    <row r="37" spans="3:13" ht="18" customHeight="1" x14ac:dyDescent="0.25">
      <c r="C37" s="586">
        <f t="shared" si="2"/>
        <v>30</v>
      </c>
      <c r="D37" s="314"/>
      <c r="E37" s="315" t="s">
        <v>1866</v>
      </c>
      <c r="F37" s="315"/>
      <c r="G37" s="315"/>
      <c r="H37" s="316"/>
      <c r="I37" s="317" t="s">
        <v>1867</v>
      </c>
      <c r="J37" s="317" t="s">
        <v>368</v>
      </c>
      <c r="K37" s="318">
        <f t="shared" si="1"/>
        <v>20600</v>
      </c>
      <c r="L37" s="318">
        <f t="shared" si="4"/>
        <v>165000</v>
      </c>
      <c r="M37" s="319"/>
    </row>
    <row r="38" spans="3:13" ht="18" customHeight="1" x14ac:dyDescent="0.25">
      <c r="C38" s="586">
        <f t="shared" si="2"/>
        <v>31</v>
      </c>
      <c r="D38" s="314"/>
      <c r="E38" s="315" t="s">
        <v>1868</v>
      </c>
      <c r="F38" s="315"/>
      <c r="G38" s="315"/>
      <c r="H38" s="316"/>
      <c r="I38" s="317" t="s">
        <v>1869</v>
      </c>
      <c r="J38" s="317" t="s">
        <v>368</v>
      </c>
      <c r="K38" s="318">
        <f t="shared" si="1"/>
        <v>20600</v>
      </c>
      <c r="L38" s="318">
        <f t="shared" si="4"/>
        <v>165000</v>
      </c>
      <c r="M38" s="319"/>
    </row>
    <row r="39" spans="3:13" ht="18" customHeight="1" x14ac:dyDescent="0.25">
      <c r="C39" s="586">
        <f t="shared" si="2"/>
        <v>32</v>
      </c>
      <c r="D39" s="321"/>
      <c r="E39" s="322" t="s">
        <v>1870</v>
      </c>
      <c r="F39" s="322"/>
      <c r="G39" s="322"/>
      <c r="H39" s="316"/>
      <c r="I39" s="317" t="s">
        <v>1871</v>
      </c>
      <c r="J39" s="317" t="s">
        <v>368</v>
      </c>
      <c r="K39" s="318">
        <f t="shared" si="1"/>
        <v>20600</v>
      </c>
      <c r="L39" s="318">
        <f t="shared" si="4"/>
        <v>165000</v>
      </c>
      <c r="M39" s="319"/>
    </row>
    <row r="40" spans="3:13" ht="18" customHeight="1" x14ac:dyDescent="0.25">
      <c r="C40" s="586">
        <f t="shared" si="2"/>
        <v>33</v>
      </c>
      <c r="D40" s="325"/>
      <c r="E40" s="329" t="s">
        <v>1872</v>
      </c>
      <c r="F40" s="330"/>
      <c r="G40" s="330"/>
      <c r="H40" s="316"/>
      <c r="I40" s="317" t="s">
        <v>1857</v>
      </c>
      <c r="J40" s="317" t="s">
        <v>368</v>
      </c>
      <c r="K40" s="318">
        <f t="shared" si="1"/>
        <v>20600</v>
      </c>
      <c r="L40" s="318">
        <f>$L$26</f>
        <v>165000</v>
      </c>
      <c r="M40" s="319"/>
    </row>
    <row r="41" spans="3:13" ht="18" customHeight="1" x14ac:dyDescent="0.25">
      <c r="C41" s="586">
        <f t="shared" si="2"/>
        <v>34</v>
      </c>
      <c r="D41" s="327"/>
      <c r="E41" s="331" t="s">
        <v>1873</v>
      </c>
      <c r="F41" s="328"/>
      <c r="G41" s="330"/>
      <c r="H41" s="316"/>
      <c r="I41" s="317" t="s">
        <v>1859</v>
      </c>
      <c r="J41" s="317" t="s">
        <v>368</v>
      </c>
      <c r="K41" s="318">
        <f t="shared" si="1"/>
        <v>18500</v>
      </c>
      <c r="L41" s="318">
        <f>$L$40*0.9</f>
        <v>148500</v>
      </c>
      <c r="M41" s="319"/>
    </row>
    <row r="42" spans="3:13" ht="18" customHeight="1" x14ac:dyDescent="0.2">
      <c r="C42" s="586">
        <f t="shared" si="2"/>
        <v>35</v>
      </c>
      <c r="D42" s="314"/>
      <c r="E42" s="386" t="s">
        <v>1808</v>
      </c>
      <c r="F42" s="315"/>
      <c r="G42" s="333"/>
      <c r="H42" s="316"/>
      <c r="I42" s="317"/>
      <c r="J42" s="317" t="s">
        <v>368</v>
      </c>
      <c r="K42" s="318">
        <f t="shared" si="1"/>
        <v>31200</v>
      </c>
      <c r="L42" s="318">
        <v>250000</v>
      </c>
      <c r="M42" s="319"/>
    </row>
    <row r="43" spans="3:13" ht="18" customHeight="1" x14ac:dyDescent="0.2">
      <c r="C43" s="586">
        <f t="shared" si="2"/>
        <v>36</v>
      </c>
      <c r="D43" s="314"/>
      <c r="E43" s="386" t="s">
        <v>1809</v>
      </c>
      <c r="F43" s="315"/>
      <c r="G43" s="315"/>
      <c r="H43" s="316"/>
      <c r="I43" s="334"/>
      <c r="J43" s="317" t="s">
        <v>368</v>
      </c>
      <c r="K43" s="318">
        <f t="shared" si="1"/>
        <v>11400</v>
      </c>
      <c r="L43" s="335">
        <v>91700</v>
      </c>
      <c r="M43" s="319"/>
    </row>
    <row r="44" spans="3:13" ht="18" hidden="1" customHeight="1" x14ac:dyDescent="0.2">
      <c r="C44" s="586"/>
      <c r="D44" s="314"/>
      <c r="E44" s="332"/>
      <c r="F44" s="315"/>
      <c r="G44" s="315"/>
      <c r="H44" s="316"/>
      <c r="I44" s="334"/>
      <c r="J44" s="334"/>
      <c r="K44" s="334"/>
      <c r="L44" s="334"/>
      <c r="M44" s="319"/>
    </row>
    <row r="45" spans="3:13" ht="18" hidden="1" customHeight="1" x14ac:dyDescent="0.2">
      <c r="C45" s="586"/>
      <c r="D45" s="314"/>
      <c r="E45" s="332"/>
      <c r="F45" s="315"/>
      <c r="G45" s="315"/>
      <c r="H45" s="316"/>
      <c r="I45" s="334"/>
      <c r="J45" s="334"/>
      <c r="K45" s="334"/>
      <c r="L45" s="334"/>
      <c r="M45" s="319"/>
    </row>
    <row r="46" spans="3:13" ht="18" hidden="1" customHeight="1" x14ac:dyDescent="0.25">
      <c r="C46" s="586"/>
      <c r="D46" s="314"/>
      <c r="E46" s="315"/>
      <c r="F46" s="315"/>
      <c r="G46" s="315"/>
      <c r="H46" s="316"/>
      <c r="I46" s="334"/>
      <c r="J46" s="334"/>
      <c r="K46" s="334"/>
      <c r="L46" s="334"/>
      <c r="M46" s="319"/>
    </row>
    <row r="47" spans="3:13" ht="18" customHeight="1" thickBot="1" x14ac:dyDescent="0.3">
      <c r="C47" s="587"/>
      <c r="D47" s="336"/>
      <c r="E47" s="337"/>
      <c r="F47" s="337"/>
      <c r="G47" s="337"/>
      <c r="H47" s="338"/>
      <c r="I47" s="339"/>
      <c r="J47" s="339"/>
      <c r="K47" s="339"/>
      <c r="L47" s="339"/>
      <c r="M47" s="340"/>
    </row>
    <row r="50" spans="12:13" ht="18" customHeight="1" x14ac:dyDescent="0.25">
      <c r="L50" s="341"/>
      <c r="M50" s="341"/>
    </row>
    <row r="51" spans="12:13" ht="18" customHeight="1" x14ac:dyDescent="0.25">
      <c r="L51" s="341"/>
      <c r="M51" s="341"/>
    </row>
    <row r="52" spans="12:13" ht="18" customHeight="1" x14ac:dyDescent="0.25">
      <c r="L52" s="342"/>
      <c r="M52" s="341"/>
    </row>
    <row r="53" spans="12:13" ht="18" customHeight="1" x14ac:dyDescent="0.25">
      <c r="L53" s="342"/>
      <c r="M53" s="341"/>
    </row>
    <row r="54" spans="12:13" ht="18" customHeight="1" x14ac:dyDescent="0.25">
      <c r="L54" s="342"/>
      <c r="M54" s="341"/>
    </row>
    <row r="55" spans="12:13" ht="18" customHeight="1" x14ac:dyDescent="0.25">
      <c r="L55" s="342"/>
      <c r="M55" s="341"/>
    </row>
    <row r="56" spans="12:13" ht="18" customHeight="1" x14ac:dyDescent="0.25">
      <c r="L56" s="343"/>
      <c r="M56" s="341"/>
    </row>
    <row r="57" spans="12:13" ht="18" customHeight="1" x14ac:dyDescent="0.25">
      <c r="L57" s="341"/>
      <c r="M57" s="341"/>
    </row>
  </sheetData>
  <protectedRanges>
    <protectedRange sqref="P8 C46:M47 D40:D41 D39:M39 C39:C41 D25 F25:M25 D26:M26 C24:C26 D24:M24 C27:M38 C42:D45 F40:M45 C1:M23" name="Range1"/>
  </protectedRanges>
  <mergeCells count="8">
    <mergeCell ref="P5:P6"/>
    <mergeCell ref="C3:M3"/>
    <mergeCell ref="C5:C6"/>
    <mergeCell ref="D5:H6"/>
    <mergeCell ref="I5:I6"/>
    <mergeCell ref="J5:J6"/>
    <mergeCell ref="K5:L5"/>
    <mergeCell ref="M5:M6"/>
  </mergeCells>
  <printOptions horizontalCentered="1"/>
  <pageMargins left="0.7" right="0.7" top="0.75" bottom="0.5699999999999999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0C15-5341-451F-8BF7-6CCDEDA6E4C6}">
  <dimension ref="B3:H121"/>
  <sheetViews>
    <sheetView showGridLines="0" tabSelected="1" zoomScaleNormal="100" zoomScaleSheetLayoutView="90" workbookViewId="0">
      <selection activeCell="F123" sqref="F123"/>
    </sheetView>
  </sheetViews>
  <sheetFormatPr defaultRowHeight="15" x14ac:dyDescent="0.25"/>
  <cols>
    <col min="2" max="2" width="5.42578125" customWidth="1"/>
    <col min="3" max="3" width="45.7109375" customWidth="1"/>
    <col min="4" max="4" width="8.28515625" style="87" customWidth="1"/>
    <col min="5" max="5" width="11.42578125" customWidth="1"/>
    <col min="6" max="7" width="17.85546875" customWidth="1"/>
    <col min="8" max="8" width="12.140625" customWidth="1"/>
  </cols>
  <sheetData>
    <row r="3" spans="2:8" ht="18.75" x14ac:dyDescent="0.3">
      <c r="B3" s="440" t="s">
        <v>287</v>
      </c>
      <c r="C3" s="440"/>
      <c r="D3" s="440"/>
      <c r="E3" s="440"/>
      <c r="F3" s="440"/>
      <c r="G3" s="440"/>
      <c r="H3" s="440"/>
    </row>
    <row r="5" spans="2:8" ht="15.75" thickBot="1" x14ac:dyDescent="0.3"/>
    <row r="6" spans="2:8" ht="15.75" thickTop="1" x14ac:dyDescent="0.25">
      <c r="B6" s="452" t="s">
        <v>328</v>
      </c>
      <c r="C6" s="454" t="s">
        <v>329</v>
      </c>
      <c r="D6" s="454" t="s">
        <v>330</v>
      </c>
      <c r="E6" s="454" t="s">
        <v>210</v>
      </c>
      <c r="F6" s="454" t="s">
        <v>331</v>
      </c>
      <c r="G6" s="504"/>
      <c r="H6" s="450" t="s">
        <v>1936</v>
      </c>
    </row>
    <row r="7" spans="2:8" x14ac:dyDescent="0.25">
      <c r="B7" s="453"/>
      <c r="C7" s="455"/>
      <c r="D7" s="455"/>
      <c r="E7" s="455"/>
      <c r="F7" s="88" t="s">
        <v>332</v>
      </c>
      <c r="G7" s="393" t="s">
        <v>333</v>
      </c>
      <c r="H7" s="451"/>
    </row>
    <row r="8" spans="2:8" ht="15.75" thickBot="1" x14ac:dyDescent="0.3">
      <c r="B8" s="90">
        <v>1</v>
      </c>
      <c r="C8" s="91">
        <v>2</v>
      </c>
      <c r="D8" s="91">
        <v>3</v>
      </c>
      <c r="E8" s="91">
        <v>4</v>
      </c>
      <c r="F8" s="91">
        <v>5</v>
      </c>
      <c r="G8" s="387" t="s">
        <v>281</v>
      </c>
      <c r="H8" s="92">
        <v>7</v>
      </c>
    </row>
    <row r="9" spans="2:8" ht="15.75" thickTop="1" x14ac:dyDescent="0.25">
      <c r="B9" s="100" t="s">
        <v>9</v>
      </c>
      <c r="C9" s="98" t="s">
        <v>10</v>
      </c>
      <c r="D9" s="93"/>
      <c r="E9" s="9"/>
      <c r="F9" s="9"/>
      <c r="G9" s="80"/>
      <c r="H9" s="400"/>
    </row>
    <row r="10" spans="2:8" x14ac:dyDescent="0.25">
      <c r="B10" s="2">
        <v>1</v>
      </c>
      <c r="C10" s="3" t="s">
        <v>288</v>
      </c>
      <c r="D10" s="94" t="s">
        <v>282</v>
      </c>
      <c r="E10" s="3">
        <f>VLOOKUP(C10,RekapVolume,3,FALSE)</f>
        <v>200</v>
      </c>
      <c r="F10" s="344">
        <f>HSP!G17</f>
        <v>23100</v>
      </c>
      <c r="G10" s="394">
        <f>E10*F10</f>
        <v>4620000</v>
      </c>
      <c r="H10" s="398">
        <f>G10/$G$119*100</f>
        <v>1.3376223134996308</v>
      </c>
    </row>
    <row r="11" spans="2:8" x14ac:dyDescent="0.25">
      <c r="B11" s="2">
        <v>2</v>
      </c>
      <c r="C11" s="3" t="s">
        <v>12</v>
      </c>
      <c r="D11" s="94" t="s">
        <v>289</v>
      </c>
      <c r="E11" s="3">
        <f>VLOOKUP(C11,RekapVolume,3,FALSE)</f>
        <v>36</v>
      </c>
      <c r="F11" s="344">
        <f>HSP!G13</f>
        <v>92990</v>
      </c>
      <c r="G11" s="394">
        <f t="shared" ref="G11:G13" si="0">E11*F11</f>
        <v>3347640</v>
      </c>
      <c r="H11" s="398">
        <f t="shared" ref="H11:H13" si="1">G11/$G$119*100</f>
        <v>0.96923765401816109</v>
      </c>
    </row>
    <row r="12" spans="2:8" x14ac:dyDescent="0.25">
      <c r="B12" s="2">
        <v>3</v>
      </c>
      <c r="C12" s="3" t="s">
        <v>13</v>
      </c>
      <c r="D12" s="94" t="s">
        <v>7</v>
      </c>
      <c r="E12" s="3">
        <f>VLOOKUP(C12,RekapVolume,3,FALSE)</f>
        <v>1</v>
      </c>
      <c r="F12" s="3">
        <v>500000</v>
      </c>
      <c r="G12" s="394">
        <f t="shared" si="0"/>
        <v>500000</v>
      </c>
      <c r="H12" s="398">
        <f t="shared" si="1"/>
        <v>0.14476431964281719</v>
      </c>
    </row>
    <row r="13" spans="2:8" x14ac:dyDescent="0.25">
      <c r="B13" s="2">
        <v>4</v>
      </c>
      <c r="C13" s="3" t="s">
        <v>290</v>
      </c>
      <c r="D13" s="94" t="s">
        <v>7</v>
      </c>
      <c r="E13" s="3">
        <f>VLOOKUP(C13,RekapVolume,3,FALSE)</f>
        <v>1</v>
      </c>
      <c r="F13" s="96">
        <v>500000</v>
      </c>
      <c r="G13" s="395">
        <f t="shared" si="0"/>
        <v>500000</v>
      </c>
      <c r="H13" s="401">
        <f t="shared" si="1"/>
        <v>0.14476431964281719</v>
      </c>
    </row>
    <row r="14" spans="2:8" x14ac:dyDescent="0.25">
      <c r="B14" s="2"/>
      <c r="C14" s="3"/>
      <c r="D14" s="94"/>
      <c r="E14" s="3"/>
      <c r="F14" s="98" t="s">
        <v>334</v>
      </c>
      <c r="G14" s="396">
        <f>SUM(G10:G13)</f>
        <v>8967640</v>
      </c>
      <c r="H14" s="402">
        <f>SUM(H10:H13)</f>
        <v>2.5963886068034259</v>
      </c>
    </row>
    <row r="15" spans="2:8" x14ac:dyDescent="0.25">
      <c r="B15" s="99" t="s">
        <v>23</v>
      </c>
      <c r="C15" s="97" t="s">
        <v>291</v>
      </c>
      <c r="D15" s="94"/>
      <c r="E15" s="3"/>
      <c r="F15" s="3"/>
      <c r="G15" s="14"/>
      <c r="H15" s="398"/>
    </row>
    <row r="16" spans="2:8" x14ac:dyDescent="0.25">
      <c r="B16" s="2">
        <v>1</v>
      </c>
      <c r="C16" s="3" t="s">
        <v>25</v>
      </c>
      <c r="D16" s="94" t="s">
        <v>283</v>
      </c>
      <c r="E16" s="3">
        <f>VLOOKUP(C16,RekapVolume,3,FALSE)</f>
        <v>30.712500000000006</v>
      </c>
      <c r="F16" s="344">
        <f>HSP!G28</f>
        <v>107800</v>
      </c>
      <c r="G16" s="394">
        <f t="shared" ref="G16:G19" si="2">E16*F16</f>
        <v>3310807.5000000005</v>
      </c>
      <c r="H16" s="398">
        <f t="shared" ref="H16:H19" si="3">G16/$G$119*100</f>
        <v>0.95857359041167312</v>
      </c>
    </row>
    <row r="17" spans="2:8" x14ac:dyDescent="0.25">
      <c r="B17" s="2">
        <v>2</v>
      </c>
      <c r="C17" s="3" t="s">
        <v>33</v>
      </c>
      <c r="D17" s="94" t="s">
        <v>283</v>
      </c>
      <c r="E17" s="3">
        <f>VLOOKUP(C17,RekapVolume,3,FALSE)</f>
        <v>26.878125000000004</v>
      </c>
      <c r="F17" s="344">
        <f>HSP!G36</f>
        <v>39050</v>
      </c>
      <c r="G17" s="394">
        <f t="shared" si="2"/>
        <v>1049590.7812500002</v>
      </c>
      <c r="H17" s="398">
        <f t="shared" si="3"/>
        <v>0.30388659070205848</v>
      </c>
    </row>
    <row r="18" spans="2:8" x14ac:dyDescent="0.25">
      <c r="B18" s="2">
        <v>3</v>
      </c>
      <c r="C18" s="3" t="s">
        <v>35</v>
      </c>
      <c r="D18" s="94" t="s">
        <v>283</v>
      </c>
      <c r="E18" s="3">
        <f>VLOOKUP(C18,RekapVolume,3,FALSE)</f>
        <v>2.0250000000000004</v>
      </c>
      <c r="F18" s="344">
        <f>HSP!G38</f>
        <v>440426</v>
      </c>
      <c r="G18" s="394">
        <f t="shared" si="2"/>
        <v>891862.65000000014</v>
      </c>
      <c r="H18" s="398">
        <f t="shared" si="3"/>
        <v>0.25821977948418001</v>
      </c>
    </row>
    <row r="19" spans="2:8" x14ac:dyDescent="0.25">
      <c r="B19" s="2">
        <v>4</v>
      </c>
      <c r="C19" s="3" t="s">
        <v>292</v>
      </c>
      <c r="D19" s="94" t="s">
        <v>283</v>
      </c>
      <c r="E19" s="3">
        <f>VLOOKUP(C19,RekapVolume,3,FALSE)</f>
        <v>4.8000000000000007</v>
      </c>
      <c r="F19" s="362">
        <f>HSP!G38</f>
        <v>440426</v>
      </c>
      <c r="G19" s="395">
        <f t="shared" si="2"/>
        <v>2114044.8000000003</v>
      </c>
      <c r="H19" s="401">
        <f t="shared" si="3"/>
        <v>0.61207651433287114</v>
      </c>
    </row>
    <row r="20" spans="2:8" x14ac:dyDescent="0.25">
      <c r="B20" s="2"/>
      <c r="C20" s="3"/>
      <c r="D20" s="94"/>
      <c r="E20" s="3"/>
      <c r="F20" s="98" t="s">
        <v>335</v>
      </c>
      <c r="G20" s="396">
        <f>SUM(G16:G19)</f>
        <v>7366305.7312500011</v>
      </c>
      <c r="H20" s="402">
        <f>SUM(H16:H19)</f>
        <v>2.1327564749307828</v>
      </c>
    </row>
    <row r="21" spans="2:8" x14ac:dyDescent="0.25">
      <c r="B21" s="99" t="s">
        <v>52</v>
      </c>
      <c r="C21" s="97" t="s">
        <v>293</v>
      </c>
      <c r="D21" s="94"/>
      <c r="E21" s="3"/>
      <c r="F21" s="3"/>
      <c r="G21" s="14"/>
      <c r="H21" s="398"/>
    </row>
    <row r="22" spans="2:8" x14ac:dyDescent="0.25">
      <c r="B22" s="2">
        <v>1</v>
      </c>
      <c r="C22" s="3" t="s">
        <v>294</v>
      </c>
      <c r="D22" s="94" t="s">
        <v>283</v>
      </c>
      <c r="E22" s="3">
        <f>VLOOKUP(C22,RekapVolume,3,FALSE)</f>
        <v>6.0750000000000002</v>
      </c>
      <c r="F22" s="344">
        <f>HSP!G52</f>
        <v>885381</v>
      </c>
      <c r="G22" s="394">
        <f t="shared" ref="G22:G26" si="4">E22*F22</f>
        <v>5378689.5750000002</v>
      </c>
      <c r="H22" s="398">
        <f t="shared" ref="H22:H26" si="5">G22/$G$119*100</f>
        <v>1.5572846737895771</v>
      </c>
    </row>
    <row r="23" spans="2:8" x14ac:dyDescent="0.25">
      <c r="B23" s="2">
        <v>2</v>
      </c>
      <c r="C23" s="3" t="s">
        <v>62</v>
      </c>
      <c r="D23" s="94" t="s">
        <v>283</v>
      </c>
      <c r="E23" s="3">
        <f>VLOOKUP(C23,RekapVolume,3,FALSE)</f>
        <v>18</v>
      </c>
      <c r="F23" s="344">
        <f>HSP!G44</f>
        <v>1467001</v>
      </c>
      <c r="G23" s="394">
        <f t="shared" si="4"/>
        <v>26406018</v>
      </c>
      <c r="H23" s="398">
        <f t="shared" si="5"/>
        <v>7.6452984604919685</v>
      </c>
    </row>
    <row r="24" spans="2:8" x14ac:dyDescent="0.25">
      <c r="B24" s="2">
        <v>3</v>
      </c>
      <c r="C24" s="3" t="s">
        <v>78</v>
      </c>
      <c r="D24" s="94" t="s">
        <v>282</v>
      </c>
      <c r="E24" s="3">
        <f>VLOOKUP(C24,RekapVolume,3,FALSE)</f>
        <v>160.405</v>
      </c>
      <c r="F24" s="344">
        <f>HSP!G157</f>
        <v>178223</v>
      </c>
      <c r="G24" s="394">
        <f t="shared" si="4"/>
        <v>28587860.315000001</v>
      </c>
      <c r="H24" s="398">
        <f t="shared" si="5"/>
        <v>8.2770042970897375</v>
      </c>
    </row>
    <row r="25" spans="2:8" x14ac:dyDescent="0.25">
      <c r="B25" s="2">
        <v>4</v>
      </c>
      <c r="C25" s="3" t="s">
        <v>347</v>
      </c>
      <c r="D25" s="94" t="s">
        <v>282</v>
      </c>
      <c r="E25" s="3">
        <f>VLOOKUP(C25,RekapVolume,3,FALSE)</f>
        <v>320.81</v>
      </c>
      <c r="F25" s="344">
        <f>HSP!G181</f>
        <v>89498</v>
      </c>
      <c r="G25" s="394">
        <f t="shared" si="4"/>
        <v>28711853.379999999</v>
      </c>
      <c r="H25" s="398">
        <f t="shared" si="5"/>
        <v>8.3129038404800415</v>
      </c>
    </row>
    <row r="26" spans="2:8" x14ac:dyDescent="0.25">
      <c r="B26" s="2">
        <v>5</v>
      </c>
      <c r="C26" s="3" t="s">
        <v>348</v>
      </c>
      <c r="D26" s="94" t="s">
        <v>282</v>
      </c>
      <c r="E26" s="3">
        <f>VLOOKUP(C26,RekapVolume,3,FALSE)</f>
        <v>320.81</v>
      </c>
      <c r="F26" s="362">
        <f>HSP!G203</f>
        <v>54406</v>
      </c>
      <c r="G26" s="395">
        <f t="shared" si="4"/>
        <v>17453988.859999999</v>
      </c>
      <c r="H26" s="401">
        <f t="shared" si="5"/>
        <v>5.0534296447424207</v>
      </c>
    </row>
    <row r="27" spans="2:8" x14ac:dyDescent="0.25">
      <c r="B27" s="2"/>
      <c r="C27" s="3"/>
      <c r="D27" s="94"/>
      <c r="E27" s="3"/>
      <c r="F27" s="98" t="s">
        <v>336</v>
      </c>
      <c r="G27" s="396">
        <f>SUM(G22:G26)</f>
        <v>106538410.13</v>
      </c>
      <c r="H27" s="402">
        <f>SUM(H22:H26)</f>
        <v>30.845920916593748</v>
      </c>
    </row>
    <row r="28" spans="2:8" x14ac:dyDescent="0.25">
      <c r="B28" s="100" t="s">
        <v>121</v>
      </c>
      <c r="C28" s="98" t="s">
        <v>122</v>
      </c>
      <c r="D28" s="93"/>
      <c r="E28" s="9"/>
      <c r="F28" s="9"/>
      <c r="G28" s="80"/>
      <c r="H28" s="400"/>
    </row>
    <row r="29" spans="2:8" x14ac:dyDescent="0.25">
      <c r="B29" s="2">
        <v>1</v>
      </c>
      <c r="C29" s="3" t="s">
        <v>1875</v>
      </c>
      <c r="D29" s="94"/>
      <c r="E29" s="3"/>
      <c r="F29" s="3"/>
      <c r="G29" s="14"/>
      <c r="H29" s="398"/>
    </row>
    <row r="30" spans="2:8" x14ac:dyDescent="0.25">
      <c r="B30" s="2"/>
      <c r="C30" s="3" t="s">
        <v>1876</v>
      </c>
      <c r="D30" s="94" t="s">
        <v>159</v>
      </c>
      <c r="E30" s="358">
        <f>'Rekap Volume'!E29</f>
        <v>189.58125000000001</v>
      </c>
      <c r="F30" s="344">
        <f>HSP!G74/10</f>
        <v>17691.7</v>
      </c>
      <c r="G30" s="394">
        <f t="shared" ref="G30:G48" si="6">E30*F30</f>
        <v>3354014.6006250004</v>
      </c>
      <c r="H30" s="398">
        <f t="shared" ref="H30:H48" si="7">G30/$G$119*100</f>
        <v>0.97108328346310679</v>
      </c>
    </row>
    <row r="31" spans="2:8" x14ac:dyDescent="0.25">
      <c r="B31" s="2"/>
      <c r="C31" s="3" t="s">
        <v>1877</v>
      </c>
      <c r="D31" s="94" t="s">
        <v>282</v>
      </c>
      <c r="E31" s="358">
        <f>'Rekap Volume'!E30</f>
        <v>22.5</v>
      </c>
      <c r="F31" s="344">
        <f>HSP!G78</f>
        <v>356765</v>
      </c>
      <c r="G31" s="394">
        <f t="shared" si="6"/>
        <v>8027212.5</v>
      </c>
      <c r="H31" s="398">
        <f t="shared" si="7"/>
        <v>2.3241079123816353</v>
      </c>
    </row>
    <row r="32" spans="2:8" x14ac:dyDescent="0.25">
      <c r="B32" s="2"/>
      <c r="C32" s="3" t="s">
        <v>1878</v>
      </c>
      <c r="D32" s="94" t="s">
        <v>283</v>
      </c>
      <c r="E32" s="358">
        <f>'Rekap Volume'!E31</f>
        <v>2.25</v>
      </c>
      <c r="F32" s="344">
        <f>HSP!G64</f>
        <v>1802958</v>
      </c>
      <c r="G32" s="394">
        <f t="shared" si="6"/>
        <v>4056655.5</v>
      </c>
      <c r="H32" s="398">
        <f t="shared" si="7"/>
        <v>1.1745179469655846</v>
      </c>
    </row>
    <row r="33" spans="2:8" x14ac:dyDescent="0.25">
      <c r="B33" s="2">
        <v>2</v>
      </c>
      <c r="C33" s="3" t="s">
        <v>1879</v>
      </c>
      <c r="D33" s="94"/>
      <c r="E33" s="3"/>
      <c r="F33" s="3"/>
      <c r="G33" s="394"/>
      <c r="H33" s="398"/>
    </row>
    <row r="34" spans="2:8" x14ac:dyDescent="0.25">
      <c r="B34" s="2"/>
      <c r="C34" s="3" t="s">
        <v>1876</v>
      </c>
      <c r="D34" s="94" t="s">
        <v>159</v>
      </c>
      <c r="E34" s="358">
        <f>'Rekap Volume'!E33</f>
        <v>156.42833333333334</v>
      </c>
      <c r="F34" s="344">
        <f>HSP!G74/10</f>
        <v>17691.7</v>
      </c>
      <c r="G34" s="394">
        <f t="shared" si="6"/>
        <v>2767483.1448333338</v>
      </c>
      <c r="H34" s="398">
        <f t="shared" si="7"/>
        <v>0.80126562916952337</v>
      </c>
    </row>
    <row r="35" spans="2:8" x14ac:dyDescent="0.25">
      <c r="B35" s="2"/>
      <c r="C35" s="3" t="s">
        <v>1877</v>
      </c>
      <c r="D35" s="94" t="s">
        <v>282</v>
      </c>
      <c r="E35" s="358">
        <f>'Rekap Volume'!E34</f>
        <v>20.399999999999999</v>
      </c>
      <c r="F35" s="344">
        <f>HSP!G78</f>
        <v>356765</v>
      </c>
      <c r="G35" s="394">
        <f t="shared" si="6"/>
        <v>7278005.9999999991</v>
      </c>
      <c r="H35" s="398">
        <f t="shared" si="7"/>
        <v>2.1071911738926823</v>
      </c>
    </row>
    <row r="36" spans="2:8" x14ac:dyDescent="0.25">
      <c r="B36" s="2"/>
      <c r="C36" s="3" t="s">
        <v>1878</v>
      </c>
      <c r="D36" s="94" t="s">
        <v>283</v>
      </c>
      <c r="E36" s="358">
        <f>'Rekap Volume'!E35</f>
        <v>1.0125</v>
      </c>
      <c r="F36" s="344">
        <f>HSP!G64</f>
        <v>1802958</v>
      </c>
      <c r="G36" s="394">
        <f t="shared" si="6"/>
        <v>1825494.9749999999</v>
      </c>
      <c r="H36" s="398">
        <f t="shared" si="7"/>
        <v>0.52853307613451306</v>
      </c>
    </row>
    <row r="37" spans="2:8" x14ac:dyDescent="0.25">
      <c r="B37" s="2">
        <v>3</v>
      </c>
      <c r="C37" s="3" t="s">
        <v>1880</v>
      </c>
      <c r="D37" s="94"/>
      <c r="E37" s="3"/>
      <c r="F37" s="3"/>
      <c r="G37" s="394"/>
      <c r="H37" s="398"/>
    </row>
    <row r="38" spans="2:8" x14ac:dyDescent="0.25">
      <c r="B38" s="2"/>
      <c r="C38" s="3" t="s">
        <v>1876</v>
      </c>
      <c r="D38" s="94" t="s">
        <v>159</v>
      </c>
      <c r="E38" s="358">
        <f>'Rekap Volume'!E37</f>
        <v>103.51875000000001</v>
      </c>
      <c r="F38" s="344">
        <f>HSP!G74/10</f>
        <v>17691.7</v>
      </c>
      <c r="G38" s="394">
        <f t="shared" si="6"/>
        <v>1831422.6693750003</v>
      </c>
      <c r="H38" s="398">
        <f t="shared" si="7"/>
        <v>0.53024931342100812</v>
      </c>
    </row>
    <row r="39" spans="2:8" x14ac:dyDescent="0.25">
      <c r="B39" s="2"/>
      <c r="C39" s="3" t="s">
        <v>1877</v>
      </c>
      <c r="D39" s="94" t="s">
        <v>282</v>
      </c>
      <c r="E39" s="358">
        <f>'Rekap Volume'!E38</f>
        <v>13.5</v>
      </c>
      <c r="F39" s="344">
        <f>HSP!G78</f>
        <v>356765</v>
      </c>
      <c r="G39" s="394">
        <f t="shared" si="6"/>
        <v>4816327.5</v>
      </c>
      <c r="H39" s="398">
        <f t="shared" si="7"/>
        <v>1.3944647474289811</v>
      </c>
    </row>
    <row r="40" spans="2:8" x14ac:dyDescent="0.25">
      <c r="B40" s="2"/>
      <c r="C40" s="3" t="s">
        <v>1878</v>
      </c>
      <c r="D40" s="94" t="s">
        <v>283</v>
      </c>
      <c r="E40" s="358">
        <f>'Rekap Volume'!E39</f>
        <v>1.0125</v>
      </c>
      <c r="F40" s="344">
        <f>HSP!G64</f>
        <v>1802958</v>
      </c>
      <c r="G40" s="394">
        <f t="shared" si="6"/>
        <v>1825494.9749999999</v>
      </c>
      <c r="H40" s="398">
        <f t="shared" si="7"/>
        <v>0.52853307613451306</v>
      </c>
    </row>
    <row r="41" spans="2:8" x14ac:dyDescent="0.25">
      <c r="B41" s="2">
        <v>4</v>
      </c>
      <c r="C41" s="3" t="s">
        <v>169</v>
      </c>
      <c r="D41" s="94"/>
      <c r="E41" s="3"/>
      <c r="F41" s="3"/>
      <c r="G41" s="394"/>
      <c r="H41" s="398"/>
    </row>
    <row r="42" spans="2:8" x14ac:dyDescent="0.25">
      <c r="B42" s="2"/>
      <c r="C42" s="3" t="s">
        <v>1876</v>
      </c>
      <c r="D42" s="94" t="s">
        <v>159</v>
      </c>
      <c r="E42" s="358">
        <f>'Rekap Volume'!E41</f>
        <v>37</v>
      </c>
      <c r="F42" s="344">
        <f>HSP!G74/10</f>
        <v>17691.7</v>
      </c>
      <c r="G42" s="394">
        <f t="shared" si="6"/>
        <v>654592.9</v>
      </c>
      <c r="H42" s="398">
        <f t="shared" si="7"/>
        <v>0.18952339162303733</v>
      </c>
    </row>
    <row r="43" spans="2:8" x14ac:dyDescent="0.25">
      <c r="B43" s="2"/>
      <c r="C43" s="3" t="s">
        <v>1877</v>
      </c>
      <c r="D43" s="94" t="s">
        <v>282</v>
      </c>
      <c r="E43" s="358">
        <f>'Rekap Volume'!E42</f>
        <v>3</v>
      </c>
      <c r="F43" s="344">
        <f>HSP!G81</f>
        <v>700265</v>
      </c>
      <c r="G43" s="394">
        <f t="shared" si="6"/>
        <v>2100795</v>
      </c>
      <c r="H43" s="398">
        <f t="shared" si="7"/>
        <v>0.60824031776806431</v>
      </c>
    </row>
    <row r="44" spans="2:8" x14ac:dyDescent="0.25">
      <c r="B44" s="2"/>
      <c r="C44" s="3" t="s">
        <v>1878</v>
      </c>
      <c r="D44" s="94" t="s">
        <v>283</v>
      </c>
      <c r="E44" s="358">
        <f>'Rekap Volume'!E43</f>
        <v>0.36</v>
      </c>
      <c r="F44" s="344">
        <f>HSP!G64</f>
        <v>1802958</v>
      </c>
      <c r="G44" s="394">
        <f t="shared" si="6"/>
        <v>649064.88</v>
      </c>
      <c r="H44" s="398">
        <f t="shared" si="7"/>
        <v>0.18792287151449355</v>
      </c>
    </row>
    <row r="45" spans="2:8" x14ac:dyDescent="0.25">
      <c r="B45" s="2">
        <v>5</v>
      </c>
      <c r="C45" s="3" t="s">
        <v>185</v>
      </c>
      <c r="D45" s="94"/>
      <c r="E45" s="3"/>
      <c r="F45" s="3"/>
      <c r="G45" s="394"/>
      <c r="H45" s="398"/>
    </row>
    <row r="46" spans="2:8" x14ac:dyDescent="0.25">
      <c r="B46" s="2"/>
      <c r="C46" s="3" t="s">
        <v>1876</v>
      </c>
      <c r="D46" s="94" t="s">
        <v>159</v>
      </c>
      <c r="E46" s="358">
        <f>'Rekap Volume'!E45</f>
        <v>34.533333333333339</v>
      </c>
      <c r="F46" s="344">
        <f>HSP!G74/10</f>
        <v>17691.7</v>
      </c>
      <c r="G46" s="394">
        <f t="shared" si="6"/>
        <v>610953.37333333341</v>
      </c>
      <c r="H46" s="398">
        <f t="shared" si="7"/>
        <v>0.17688849884816821</v>
      </c>
    </row>
    <row r="47" spans="2:8" x14ac:dyDescent="0.25">
      <c r="B47" s="2"/>
      <c r="C47" s="3" t="s">
        <v>1877</v>
      </c>
      <c r="D47" s="94" t="s">
        <v>282</v>
      </c>
      <c r="E47" s="358">
        <f>'Rekap Volume'!E46</f>
        <v>2.8</v>
      </c>
      <c r="F47" s="344">
        <f>HSP!G81</f>
        <v>700265</v>
      </c>
      <c r="G47" s="394">
        <f t="shared" si="6"/>
        <v>1960741.9999999998</v>
      </c>
      <c r="H47" s="398">
        <f t="shared" si="7"/>
        <v>0.5676909632501933</v>
      </c>
    </row>
    <row r="48" spans="2:8" x14ac:dyDescent="0.25">
      <c r="B48" s="2"/>
      <c r="C48" s="3" t="s">
        <v>1878</v>
      </c>
      <c r="D48" s="94" t="s">
        <v>283</v>
      </c>
      <c r="E48" s="358">
        <f>'Rekap Volume'!E47</f>
        <v>0.33599999999999997</v>
      </c>
      <c r="F48" s="362">
        <f>HSP!G64</f>
        <v>1802958</v>
      </c>
      <c r="G48" s="395">
        <f t="shared" si="6"/>
        <v>605793.88799999992</v>
      </c>
      <c r="H48" s="401">
        <f t="shared" si="7"/>
        <v>0.17539468008019396</v>
      </c>
    </row>
    <row r="49" spans="2:8" x14ac:dyDescent="0.25">
      <c r="B49" s="2"/>
      <c r="C49" s="3"/>
      <c r="D49" s="94"/>
      <c r="E49" s="3"/>
      <c r="F49" s="98" t="s">
        <v>337</v>
      </c>
      <c r="G49" s="396">
        <f>SUM(G30:G48)</f>
        <v>42364053.906166665</v>
      </c>
      <c r="H49" s="402">
        <f>SUM(H30:H48)</f>
        <v>12.2656068820757</v>
      </c>
    </row>
    <row r="50" spans="2:8" x14ac:dyDescent="0.25">
      <c r="B50" s="99" t="s">
        <v>187</v>
      </c>
      <c r="C50" s="97" t="s">
        <v>295</v>
      </c>
      <c r="D50" s="94"/>
      <c r="E50" s="3"/>
      <c r="F50" s="3"/>
      <c r="G50" s="14"/>
      <c r="H50" s="398"/>
    </row>
    <row r="51" spans="2:8" x14ac:dyDescent="0.25">
      <c r="B51" s="2">
        <v>1</v>
      </c>
      <c r="C51" s="3" t="s">
        <v>1882</v>
      </c>
      <c r="D51" s="94" t="s">
        <v>283</v>
      </c>
      <c r="E51" s="358">
        <f t="shared" ref="E51:E56" si="8">VLOOKUP(C51,RekapVolume,3,FALSE)</f>
        <v>97.680097680097688</v>
      </c>
      <c r="F51" s="344">
        <f>HSP!G145</f>
        <v>396201</v>
      </c>
      <c r="G51" s="394">
        <f t="shared" ref="G51:G56" si="9">E51*F51</f>
        <v>38700952.380952381</v>
      </c>
      <c r="H51" s="398">
        <f t="shared" ref="H51:H56" si="10">G51/$G$119*100</f>
        <v>11.205034081915274</v>
      </c>
    </row>
    <row r="52" spans="2:8" x14ac:dyDescent="0.25">
      <c r="B52" s="2">
        <v>2</v>
      </c>
      <c r="C52" s="3" t="s">
        <v>296</v>
      </c>
      <c r="D52" s="94" t="s">
        <v>283</v>
      </c>
      <c r="E52" s="358">
        <f t="shared" si="8"/>
        <v>39.536019536019538</v>
      </c>
      <c r="F52" s="344">
        <f>HSP!G358</f>
        <v>107851</v>
      </c>
      <c r="G52" s="394">
        <f t="shared" si="9"/>
        <v>4263999.2429792434</v>
      </c>
      <c r="H52" s="398">
        <f t="shared" si="10"/>
        <v>1.2345498987347554</v>
      </c>
    </row>
    <row r="53" spans="2:8" x14ac:dyDescent="0.25">
      <c r="B53" s="2">
        <v>3</v>
      </c>
      <c r="C53" s="3" t="s">
        <v>1892</v>
      </c>
      <c r="D53" s="94" t="s">
        <v>283</v>
      </c>
      <c r="E53" s="358">
        <f t="shared" si="8"/>
        <v>97.680097680097688</v>
      </c>
      <c r="F53" s="344">
        <f>HSP!G324</f>
        <v>114665</v>
      </c>
      <c r="G53" s="394">
        <f t="shared" si="9"/>
        <v>11200488.400488401</v>
      </c>
      <c r="H53" s="398">
        <f t="shared" si="10"/>
        <v>3.2428621659279377</v>
      </c>
    </row>
    <row r="54" spans="2:8" x14ac:dyDescent="0.25">
      <c r="B54" s="2">
        <v>4</v>
      </c>
      <c r="C54" s="3" t="s">
        <v>1893</v>
      </c>
      <c r="D54" s="94" t="s">
        <v>283</v>
      </c>
      <c r="E54" s="3">
        <f t="shared" si="8"/>
        <v>80</v>
      </c>
      <c r="F54" s="344">
        <f>HSP!G288</f>
        <v>423593</v>
      </c>
      <c r="G54" s="394">
        <f t="shared" si="9"/>
        <v>33887440</v>
      </c>
      <c r="H54" s="398">
        <f t="shared" si="10"/>
        <v>9.8113843920735775</v>
      </c>
    </row>
    <row r="55" spans="2:8" x14ac:dyDescent="0.25">
      <c r="B55" s="2">
        <v>5</v>
      </c>
      <c r="C55" s="3" t="s">
        <v>1894</v>
      </c>
      <c r="D55" s="94" t="s">
        <v>284</v>
      </c>
      <c r="E55" s="3">
        <f t="shared" si="8"/>
        <v>80</v>
      </c>
      <c r="F55" s="344">
        <f>HSP!G284</f>
        <v>64700</v>
      </c>
      <c r="G55" s="394">
        <f t="shared" si="9"/>
        <v>5176000</v>
      </c>
      <c r="H55" s="398">
        <f t="shared" si="10"/>
        <v>1.4986002369424436</v>
      </c>
    </row>
    <row r="56" spans="2:8" x14ac:dyDescent="0.25">
      <c r="B56" s="2">
        <v>6</v>
      </c>
      <c r="C56" s="3" t="s">
        <v>297</v>
      </c>
      <c r="D56" s="94" t="s">
        <v>282</v>
      </c>
      <c r="E56" s="3">
        <f t="shared" si="8"/>
        <v>36</v>
      </c>
      <c r="F56" s="362">
        <f>HSP!G285</f>
        <v>41910</v>
      </c>
      <c r="G56" s="395">
        <f t="shared" si="9"/>
        <v>1508760</v>
      </c>
      <c r="H56" s="401">
        <f t="shared" si="10"/>
        <v>0.43682922980859373</v>
      </c>
    </row>
    <row r="57" spans="2:8" x14ac:dyDescent="0.25">
      <c r="B57" s="2"/>
      <c r="C57" s="3"/>
      <c r="D57" s="94"/>
      <c r="E57" s="3"/>
      <c r="F57" s="98" t="s">
        <v>338</v>
      </c>
      <c r="G57" s="396">
        <f>SUM(G51:G56)</f>
        <v>94737640.024420023</v>
      </c>
      <c r="H57" s="402">
        <f>SUM(H51:H56)</f>
        <v>27.429260005402583</v>
      </c>
    </row>
    <row r="58" spans="2:8" x14ac:dyDescent="0.25">
      <c r="B58" s="100" t="s">
        <v>204</v>
      </c>
      <c r="C58" s="98" t="s">
        <v>298</v>
      </c>
      <c r="D58" s="93"/>
      <c r="E58" s="9"/>
      <c r="F58" s="9"/>
      <c r="G58" s="80"/>
      <c r="H58" s="400"/>
    </row>
    <row r="59" spans="2:8" x14ac:dyDescent="0.25">
      <c r="B59" s="2">
        <v>1</v>
      </c>
      <c r="C59" s="3" t="s">
        <v>1905</v>
      </c>
      <c r="D59" s="94" t="s">
        <v>283</v>
      </c>
      <c r="E59" s="358">
        <f>VLOOKUP(C59,RekapVolume,3,FALSE)</f>
        <v>0.35040000000000004</v>
      </c>
      <c r="F59" s="344">
        <f>HSP!G339</f>
        <v>10054189</v>
      </c>
      <c r="G59" s="394">
        <f t="shared" ref="G59:G63" si="11">E59*F59</f>
        <v>3522987.8256000006</v>
      </c>
      <c r="H59" s="398">
        <f t="shared" ref="H59:H63" si="12">G59/$G$119*100</f>
        <v>1.020005871365824</v>
      </c>
    </row>
    <row r="60" spans="2:8" x14ac:dyDescent="0.25">
      <c r="B60" s="2">
        <v>2</v>
      </c>
      <c r="C60" s="3" t="s">
        <v>1906</v>
      </c>
      <c r="D60" s="94" t="s">
        <v>282</v>
      </c>
      <c r="E60" s="3">
        <f>VLOOKUP(C60,RekapVolume,3,FALSE)</f>
        <v>6.5280000000000005</v>
      </c>
      <c r="F60" s="344">
        <f>HSP!G342</f>
        <v>902665</v>
      </c>
      <c r="G60" s="394">
        <f t="shared" si="11"/>
        <v>5892597.1200000001</v>
      </c>
      <c r="H60" s="398">
        <f t="shared" si="12"/>
        <v>1.706075626012048</v>
      </c>
    </row>
    <row r="61" spans="2:8" x14ac:dyDescent="0.25">
      <c r="B61" s="2">
        <v>3</v>
      </c>
      <c r="C61" s="3" t="s">
        <v>224</v>
      </c>
      <c r="D61" s="94" t="s">
        <v>282</v>
      </c>
      <c r="E61" s="3">
        <f>VLOOKUP(C61,RekapVolume,3,FALSE)</f>
        <v>1.4279999999999999</v>
      </c>
      <c r="F61" s="344">
        <f>HSP!G348</f>
        <v>767120</v>
      </c>
      <c r="G61" s="394">
        <f t="shared" si="11"/>
        <v>1095447.3599999999</v>
      </c>
      <c r="H61" s="398">
        <f t="shared" si="12"/>
        <v>0.31716338354984042</v>
      </c>
    </row>
    <row r="62" spans="2:8" x14ac:dyDescent="0.25">
      <c r="B62" s="2">
        <v>4</v>
      </c>
      <c r="C62" s="3" t="s">
        <v>299</v>
      </c>
      <c r="D62" s="94" t="s">
        <v>282</v>
      </c>
      <c r="E62" s="3">
        <f>VLOOKUP(C62,RekapVolume,3,FALSE)</f>
        <v>0.81199999999999994</v>
      </c>
      <c r="F62" s="344">
        <f>HSP!G343</f>
        <v>680859</v>
      </c>
      <c r="G62" s="394">
        <f t="shared" si="11"/>
        <v>552857.50799999991</v>
      </c>
      <c r="H62" s="398">
        <f t="shared" si="12"/>
        <v>0.16006808201008668</v>
      </c>
    </row>
    <row r="63" spans="2:8" x14ac:dyDescent="0.25">
      <c r="B63" s="2">
        <v>5</v>
      </c>
      <c r="C63" s="3" t="s">
        <v>300</v>
      </c>
      <c r="D63" s="94" t="s">
        <v>282</v>
      </c>
      <c r="E63" s="3">
        <f>VLOOKUP(C63,RekapVolume,3,FALSE)</f>
        <v>2.3040000000000003</v>
      </c>
      <c r="F63" s="362">
        <f>HSP!G347</f>
        <v>822685</v>
      </c>
      <c r="G63" s="395">
        <f t="shared" si="11"/>
        <v>1895466.2400000002</v>
      </c>
      <c r="H63" s="401">
        <f t="shared" si="12"/>
        <v>0.54879176127905771</v>
      </c>
    </row>
    <row r="64" spans="2:8" x14ac:dyDescent="0.25">
      <c r="B64" s="2"/>
      <c r="C64" s="3"/>
      <c r="D64" s="94"/>
      <c r="E64" s="3"/>
      <c r="F64" s="98" t="s">
        <v>339</v>
      </c>
      <c r="G64" s="396">
        <f>SUM(G59:G63)</f>
        <v>12959356.0536</v>
      </c>
      <c r="H64" s="402">
        <f>SUM(H59:H63)</f>
        <v>3.7521047242168568</v>
      </c>
    </row>
    <row r="65" spans="2:8" x14ac:dyDescent="0.25">
      <c r="B65" s="99" t="s">
        <v>228</v>
      </c>
      <c r="C65" s="97" t="s">
        <v>301</v>
      </c>
      <c r="D65" s="94"/>
      <c r="E65" s="3"/>
      <c r="F65" s="3"/>
      <c r="G65" s="14"/>
      <c r="H65" s="398"/>
    </row>
    <row r="66" spans="2:8" x14ac:dyDescent="0.25">
      <c r="B66" s="2">
        <v>1</v>
      </c>
      <c r="C66" s="3" t="s">
        <v>302</v>
      </c>
      <c r="D66" s="94" t="s">
        <v>282</v>
      </c>
      <c r="E66" s="3">
        <f>VLOOKUP(C66,RekapVolume,3,FALSE)</f>
        <v>44.37</v>
      </c>
      <c r="F66" s="344">
        <f>HSP!G242</f>
        <v>302112</v>
      </c>
      <c r="G66" s="394">
        <f t="shared" ref="G66:G67" si="13">E66*F66</f>
        <v>13404709.439999999</v>
      </c>
      <c r="H66" s="398">
        <f t="shared" ref="H66:H67" si="14">G66/$G$119*100</f>
        <v>3.8810472841824977</v>
      </c>
    </row>
    <row r="67" spans="2:8" x14ac:dyDescent="0.25">
      <c r="B67" s="2">
        <v>2</v>
      </c>
      <c r="C67" s="3" t="s">
        <v>303</v>
      </c>
      <c r="D67" s="94" t="s">
        <v>282</v>
      </c>
      <c r="E67" s="3">
        <f>VLOOKUP(C67,RekapVolume,3,FALSE)</f>
        <v>2.8800000000000003</v>
      </c>
      <c r="F67" s="362">
        <f>HSP!G243</f>
        <v>351087</v>
      </c>
      <c r="G67" s="395">
        <f t="shared" si="13"/>
        <v>1011130.5600000002</v>
      </c>
      <c r="H67" s="401">
        <f t="shared" si="14"/>
        <v>0.29275125517692152</v>
      </c>
    </row>
    <row r="68" spans="2:8" x14ac:dyDescent="0.25">
      <c r="B68" s="2"/>
      <c r="C68" s="3"/>
      <c r="D68" s="94"/>
      <c r="E68" s="3"/>
      <c r="F68" s="98" t="s">
        <v>340</v>
      </c>
      <c r="G68" s="396">
        <f>SUM(G66:G67)</f>
        <v>14415840</v>
      </c>
      <c r="H68" s="402">
        <f>SUM(H66:H67)</f>
        <v>4.173798539359419</v>
      </c>
    </row>
    <row r="69" spans="2:8" x14ac:dyDescent="0.25">
      <c r="B69" s="99" t="s">
        <v>285</v>
      </c>
      <c r="C69" s="97" t="s">
        <v>304</v>
      </c>
      <c r="D69" s="94"/>
      <c r="E69" s="3"/>
      <c r="F69" s="3"/>
      <c r="G69" s="14"/>
      <c r="H69" s="398"/>
    </row>
    <row r="70" spans="2:8" x14ac:dyDescent="0.25">
      <c r="B70" s="2">
        <v>1</v>
      </c>
      <c r="C70" s="3" t="s">
        <v>1908</v>
      </c>
      <c r="D70" s="94" t="s">
        <v>286</v>
      </c>
      <c r="E70" s="3">
        <f t="shared" ref="E70:E76" si="15">VLOOKUP(C70,RekapVolume,3,FALSE)</f>
        <v>4</v>
      </c>
      <c r="F70" s="344">
        <f>HSP!G369</f>
        <v>269775</v>
      </c>
      <c r="G70" s="394">
        <f t="shared" ref="G70:G76" si="16">E70*F70</f>
        <v>1079100</v>
      </c>
      <c r="H70" s="398">
        <f t="shared" ref="H70:H76" si="17">G70/$G$119*100</f>
        <v>0.31243035465312807</v>
      </c>
    </row>
    <row r="71" spans="2:8" x14ac:dyDescent="0.25">
      <c r="B71" s="2">
        <v>2</v>
      </c>
      <c r="C71" s="3" t="s">
        <v>241</v>
      </c>
      <c r="D71" s="94" t="s">
        <v>286</v>
      </c>
      <c r="E71" s="3">
        <f t="shared" si="15"/>
        <v>1</v>
      </c>
      <c r="F71" s="344">
        <f>HSP!G370</f>
        <v>157173</v>
      </c>
      <c r="G71" s="394">
        <f t="shared" si="16"/>
        <v>157173</v>
      </c>
      <c r="H71" s="398">
        <f t="shared" si="17"/>
        <v>4.5506084822441013E-2</v>
      </c>
    </row>
    <row r="72" spans="2:8" x14ac:dyDescent="0.25">
      <c r="B72" s="2">
        <v>3</v>
      </c>
      <c r="C72" s="3" t="s">
        <v>1909</v>
      </c>
      <c r="D72" s="94" t="s">
        <v>286</v>
      </c>
      <c r="E72" s="3">
        <f t="shared" si="15"/>
        <v>5</v>
      </c>
      <c r="F72" s="344">
        <f>HSP!G378</f>
        <v>108317</v>
      </c>
      <c r="G72" s="394">
        <f t="shared" si="16"/>
        <v>541585</v>
      </c>
      <c r="H72" s="398">
        <f t="shared" si="17"/>
        <v>0.15680436810751028</v>
      </c>
    </row>
    <row r="73" spans="2:8" x14ac:dyDescent="0.25">
      <c r="B73" s="2">
        <v>4</v>
      </c>
      <c r="C73" s="3" t="s">
        <v>1910</v>
      </c>
      <c r="D73" s="94" t="s">
        <v>286</v>
      </c>
      <c r="E73" s="3">
        <f t="shared" si="15"/>
        <v>4</v>
      </c>
      <c r="F73" s="344">
        <f>HSP!G378</f>
        <v>108317</v>
      </c>
      <c r="G73" s="394">
        <f t="shared" si="16"/>
        <v>433268</v>
      </c>
      <c r="H73" s="398">
        <f t="shared" si="17"/>
        <v>0.12544349448600822</v>
      </c>
    </row>
    <row r="74" spans="2:8" x14ac:dyDescent="0.25">
      <c r="B74" s="2">
        <v>5</v>
      </c>
      <c r="C74" s="3" t="s">
        <v>242</v>
      </c>
      <c r="D74" s="94" t="s">
        <v>286</v>
      </c>
      <c r="E74" s="3">
        <f t="shared" si="15"/>
        <v>15</v>
      </c>
      <c r="F74" s="344">
        <f>HSP!G372</f>
        <v>53246</v>
      </c>
      <c r="G74" s="394">
        <f t="shared" si="16"/>
        <v>798690</v>
      </c>
      <c r="H74" s="398">
        <f t="shared" si="17"/>
        <v>0.23124362891104333</v>
      </c>
    </row>
    <row r="75" spans="2:8" x14ac:dyDescent="0.25">
      <c r="B75" s="2">
        <v>6</v>
      </c>
      <c r="C75" s="3" t="s">
        <v>243</v>
      </c>
      <c r="D75" s="94" t="s">
        <v>286</v>
      </c>
      <c r="E75" s="3">
        <f t="shared" si="15"/>
        <v>8</v>
      </c>
      <c r="F75" s="344">
        <f>HSP!G373</f>
        <v>44863</v>
      </c>
      <c r="G75" s="394">
        <f t="shared" si="16"/>
        <v>358904</v>
      </c>
      <c r="H75" s="398">
        <f t="shared" si="17"/>
        <v>0.10391298675417131</v>
      </c>
    </row>
    <row r="76" spans="2:8" x14ac:dyDescent="0.25">
      <c r="B76" s="2">
        <v>7</v>
      </c>
      <c r="C76" s="3" t="s">
        <v>244</v>
      </c>
      <c r="D76" s="94" t="s">
        <v>286</v>
      </c>
      <c r="E76" s="3">
        <f t="shared" si="15"/>
        <v>8</v>
      </c>
      <c r="F76" s="362">
        <f>HSP!G376</f>
        <v>38291</v>
      </c>
      <c r="G76" s="395">
        <f t="shared" si="16"/>
        <v>306328</v>
      </c>
      <c r="H76" s="401">
        <f t="shared" si="17"/>
        <v>8.86907290150898E-2</v>
      </c>
    </row>
    <row r="77" spans="2:8" x14ac:dyDescent="0.25">
      <c r="B77" s="2"/>
      <c r="C77" s="3"/>
      <c r="D77" s="94"/>
      <c r="E77" s="3"/>
      <c r="F77" s="98" t="s">
        <v>341</v>
      </c>
      <c r="G77" s="396">
        <f>SUM(G70:G76)</f>
        <v>3675048</v>
      </c>
      <c r="H77" s="402">
        <f>SUM(H70:H76)</f>
        <v>1.064031646749392</v>
      </c>
    </row>
    <row r="78" spans="2:8" x14ac:dyDescent="0.25">
      <c r="B78" s="100" t="s">
        <v>246</v>
      </c>
      <c r="C78" s="98" t="s">
        <v>305</v>
      </c>
      <c r="D78" s="93"/>
      <c r="E78" s="9"/>
      <c r="F78" s="9"/>
      <c r="G78" s="80"/>
      <c r="H78" s="400"/>
    </row>
    <row r="79" spans="2:8" x14ac:dyDescent="0.25">
      <c r="B79" s="2">
        <v>1</v>
      </c>
      <c r="C79" s="3" t="s">
        <v>306</v>
      </c>
      <c r="D79" s="94" t="s">
        <v>286</v>
      </c>
      <c r="E79" s="3">
        <f t="shared" ref="E79:E90" si="18">VLOOKUP(C79,RekapVolume,3,FALSE)</f>
        <v>2</v>
      </c>
      <c r="F79" s="344">
        <f>HSP!G456</f>
        <v>306611</v>
      </c>
      <c r="G79" s="394">
        <f t="shared" ref="G79:G90" si="19">E79*F79</f>
        <v>613222</v>
      </c>
      <c r="H79" s="398">
        <f t="shared" ref="H79:H90" si="20">G79/$G$119*100</f>
        <v>0.17754533124001529</v>
      </c>
    </row>
    <row r="80" spans="2:8" x14ac:dyDescent="0.25">
      <c r="B80" s="2">
        <v>2</v>
      </c>
      <c r="C80" s="3" t="s">
        <v>307</v>
      </c>
      <c r="D80" s="94" t="s">
        <v>286</v>
      </c>
      <c r="E80" s="3">
        <f t="shared" si="18"/>
        <v>5</v>
      </c>
      <c r="F80" s="344">
        <f>HSP!G456</f>
        <v>306611</v>
      </c>
      <c r="G80" s="394">
        <f t="shared" si="19"/>
        <v>1533055</v>
      </c>
      <c r="H80" s="398">
        <f t="shared" si="20"/>
        <v>0.4438633281000382</v>
      </c>
    </row>
    <row r="81" spans="2:8" x14ac:dyDescent="0.25">
      <c r="B81" s="2">
        <v>3</v>
      </c>
      <c r="C81" s="3" t="s">
        <v>308</v>
      </c>
      <c r="D81" s="94" t="s">
        <v>286</v>
      </c>
      <c r="E81" s="3">
        <f t="shared" si="18"/>
        <v>1</v>
      </c>
      <c r="F81" s="344">
        <f>HSP!G456</f>
        <v>306611</v>
      </c>
      <c r="G81" s="394">
        <f t="shared" si="19"/>
        <v>306611</v>
      </c>
      <c r="H81" s="398">
        <f t="shared" si="20"/>
        <v>8.8772665620007643E-2</v>
      </c>
    </row>
    <row r="82" spans="2:8" x14ac:dyDescent="0.25">
      <c r="B82" s="2">
        <v>4</v>
      </c>
      <c r="C82" s="3" t="s">
        <v>248</v>
      </c>
      <c r="D82" s="94" t="s">
        <v>286</v>
      </c>
      <c r="E82" s="3">
        <f t="shared" si="18"/>
        <v>2</v>
      </c>
      <c r="F82" s="344">
        <f>HSP!G457</f>
        <v>84535</v>
      </c>
      <c r="G82" s="394">
        <f t="shared" si="19"/>
        <v>169070</v>
      </c>
      <c r="H82" s="398">
        <f t="shared" si="20"/>
        <v>4.8950607044022203E-2</v>
      </c>
    </row>
    <row r="83" spans="2:8" x14ac:dyDescent="0.25">
      <c r="B83" s="2">
        <v>5</v>
      </c>
      <c r="C83" s="3" t="s">
        <v>249</v>
      </c>
      <c r="D83" s="94" t="s">
        <v>286</v>
      </c>
      <c r="E83" s="3">
        <f t="shared" si="18"/>
        <v>4</v>
      </c>
      <c r="F83" s="344">
        <f>HSP!G458</f>
        <v>77935</v>
      </c>
      <c r="G83" s="394">
        <f t="shared" si="19"/>
        <v>311740</v>
      </c>
      <c r="H83" s="398">
        <f t="shared" si="20"/>
        <v>9.0257658010903657E-2</v>
      </c>
    </row>
    <row r="84" spans="2:8" x14ac:dyDescent="0.25">
      <c r="B84" s="2">
        <v>6</v>
      </c>
      <c r="C84" s="3" t="s">
        <v>250</v>
      </c>
      <c r="D84" s="94" t="s">
        <v>286</v>
      </c>
      <c r="E84" s="3">
        <f t="shared" si="18"/>
        <v>4</v>
      </c>
      <c r="F84" s="344">
        <f>HSP!G459</f>
        <v>70697</v>
      </c>
      <c r="G84" s="394">
        <f t="shared" si="19"/>
        <v>282788</v>
      </c>
      <c r="H84" s="398">
        <f t="shared" si="20"/>
        <v>8.187522484630598E-2</v>
      </c>
    </row>
    <row r="85" spans="2:8" x14ac:dyDescent="0.25">
      <c r="B85" s="2">
        <v>7</v>
      </c>
      <c r="C85" s="3" t="s">
        <v>251</v>
      </c>
      <c r="D85" s="94" t="s">
        <v>286</v>
      </c>
      <c r="E85" s="3">
        <f t="shared" si="18"/>
        <v>1</v>
      </c>
      <c r="F85" s="344">
        <f>HSP!G460</f>
        <v>496870</v>
      </c>
      <c r="G85" s="394">
        <f t="shared" si="19"/>
        <v>496870</v>
      </c>
      <c r="H85" s="398">
        <f t="shared" si="20"/>
        <v>0.14385809500185315</v>
      </c>
    </row>
    <row r="86" spans="2:8" x14ac:dyDescent="0.25">
      <c r="B86" s="2">
        <v>8</v>
      </c>
      <c r="C86" s="3" t="s">
        <v>252</v>
      </c>
      <c r="D86" s="94" t="s">
        <v>286</v>
      </c>
      <c r="E86" s="3">
        <f t="shared" si="18"/>
        <v>1</v>
      </c>
      <c r="F86" s="344">
        <f>HSP!G417</f>
        <v>2407185</v>
      </c>
      <c r="G86" s="394">
        <f t="shared" si="19"/>
        <v>2407185</v>
      </c>
      <c r="H86" s="398">
        <f t="shared" si="20"/>
        <v>0.6969489975587897</v>
      </c>
    </row>
    <row r="87" spans="2:8" x14ac:dyDescent="0.25">
      <c r="B87" s="2">
        <v>9</v>
      </c>
      <c r="C87" s="3" t="s">
        <v>253</v>
      </c>
      <c r="D87" s="94" t="s">
        <v>286</v>
      </c>
      <c r="E87" s="3">
        <f t="shared" si="18"/>
        <v>1</v>
      </c>
      <c r="F87" s="344">
        <f>HSP!G426</f>
        <v>611387</v>
      </c>
      <c r="G87" s="394">
        <f t="shared" si="19"/>
        <v>611387</v>
      </c>
      <c r="H87" s="398">
        <f t="shared" si="20"/>
        <v>0.17701404618692615</v>
      </c>
    </row>
    <row r="88" spans="2:8" x14ac:dyDescent="0.25">
      <c r="B88" s="2">
        <v>10</v>
      </c>
      <c r="C88" s="3" t="s">
        <v>254</v>
      </c>
      <c r="D88" s="94" t="s">
        <v>286</v>
      </c>
      <c r="E88" s="3">
        <f t="shared" si="18"/>
        <v>4</v>
      </c>
      <c r="F88" s="344">
        <f>HSP!G435</f>
        <v>110331</v>
      </c>
      <c r="G88" s="394">
        <f t="shared" si="19"/>
        <v>441324</v>
      </c>
      <c r="H88" s="398">
        <f t="shared" si="20"/>
        <v>0.1277759372040933</v>
      </c>
    </row>
    <row r="89" spans="2:8" x14ac:dyDescent="0.25">
      <c r="B89" s="2">
        <v>11</v>
      </c>
      <c r="C89" s="3" t="s">
        <v>255</v>
      </c>
      <c r="D89" s="94" t="s">
        <v>286</v>
      </c>
      <c r="E89" s="3">
        <f t="shared" si="18"/>
        <v>1</v>
      </c>
      <c r="F89" s="344">
        <f>HSP!G430</f>
        <v>328625</v>
      </c>
      <c r="G89" s="394">
        <f t="shared" si="19"/>
        <v>328625</v>
      </c>
      <c r="H89" s="398">
        <f t="shared" si="20"/>
        <v>9.5146349085241597E-2</v>
      </c>
    </row>
    <row r="90" spans="2:8" x14ac:dyDescent="0.25">
      <c r="B90" s="2">
        <v>12</v>
      </c>
      <c r="C90" s="3" t="s">
        <v>256</v>
      </c>
      <c r="D90" s="94" t="s">
        <v>286</v>
      </c>
      <c r="E90" s="3">
        <f t="shared" si="18"/>
        <v>1</v>
      </c>
      <c r="F90" s="362">
        <f>HSP!G428</f>
        <v>678315</v>
      </c>
      <c r="G90" s="395">
        <f t="shared" si="19"/>
        <v>678315</v>
      </c>
      <c r="H90" s="401">
        <f t="shared" si="20"/>
        <v>0.19639161895703508</v>
      </c>
    </row>
    <row r="91" spans="2:8" x14ac:dyDescent="0.25">
      <c r="B91" s="2"/>
      <c r="C91" s="3"/>
      <c r="D91" s="94"/>
      <c r="E91" s="3"/>
      <c r="F91" s="98" t="s">
        <v>342</v>
      </c>
      <c r="G91" s="396">
        <f>SUM(G79:G90)</f>
        <v>8180192</v>
      </c>
      <c r="H91" s="402">
        <f>SUM(H79:H90)</f>
        <v>2.368399858855232</v>
      </c>
    </row>
    <row r="92" spans="2:8" x14ac:dyDescent="0.25">
      <c r="B92" s="99" t="s">
        <v>16</v>
      </c>
      <c r="C92" s="97" t="s">
        <v>260</v>
      </c>
      <c r="D92" s="94"/>
      <c r="E92" s="3"/>
      <c r="F92" s="3"/>
      <c r="G92" s="14"/>
      <c r="H92" s="398"/>
    </row>
    <row r="93" spans="2:8" x14ac:dyDescent="0.25">
      <c r="B93" s="2">
        <v>1</v>
      </c>
      <c r="C93" s="3" t="s">
        <v>309</v>
      </c>
      <c r="D93" s="94" t="s">
        <v>282</v>
      </c>
      <c r="E93" s="3">
        <f>VLOOKUP(C93,RekapVolume,3,FALSE)</f>
        <v>320.81</v>
      </c>
      <c r="F93" s="344">
        <f>HSP!G402</f>
        <v>37532</v>
      </c>
      <c r="G93" s="394">
        <f t="shared" ref="G93:G96" si="21">E93*F93</f>
        <v>12040640.92</v>
      </c>
      <c r="H93" s="398">
        <f t="shared" ref="H93:H96" si="22">G93/$G$119*100</f>
        <v>3.4861103816945285</v>
      </c>
    </row>
    <row r="94" spans="2:8" x14ac:dyDescent="0.25">
      <c r="B94" s="2">
        <v>2</v>
      </c>
      <c r="C94" s="3" t="s">
        <v>310</v>
      </c>
      <c r="D94" s="94" t="s">
        <v>282</v>
      </c>
      <c r="E94" s="3">
        <f>VLOOKUP(C94,RekapVolume,3,FALSE)</f>
        <v>80</v>
      </c>
      <c r="F94" s="344">
        <f>HSP!G402</f>
        <v>37532</v>
      </c>
      <c r="G94" s="394">
        <f t="shared" si="21"/>
        <v>3002560</v>
      </c>
      <c r="H94" s="398">
        <f t="shared" si="22"/>
        <v>0.86932711117347439</v>
      </c>
    </row>
    <row r="95" spans="2:8" x14ac:dyDescent="0.25">
      <c r="B95" s="2">
        <v>3</v>
      </c>
      <c r="C95" s="3" t="s">
        <v>311</v>
      </c>
      <c r="D95" s="94" t="s">
        <v>282</v>
      </c>
      <c r="E95" s="3">
        <f>VLOOKUP(C95,RekapVolume,3,FALSE)</f>
        <v>6.0587999999999997</v>
      </c>
      <c r="F95" s="344">
        <f>HSP!G408</f>
        <v>43847</v>
      </c>
      <c r="G95" s="394">
        <f t="shared" si="21"/>
        <v>265660.20360000001</v>
      </c>
      <c r="H95" s="398">
        <f t="shared" si="22"/>
        <v>7.6916237260652595E-2</v>
      </c>
    </row>
    <row r="96" spans="2:8" x14ac:dyDescent="0.25">
      <c r="B96" s="2">
        <v>4</v>
      </c>
      <c r="C96" s="3" t="s">
        <v>312</v>
      </c>
      <c r="D96" s="94" t="s">
        <v>282</v>
      </c>
      <c r="E96" s="3">
        <f>VLOOKUP(C96,RekapVolume,3,FALSE)</f>
        <v>6.0587999999999997</v>
      </c>
      <c r="F96" s="362">
        <f>HSP!G396</f>
        <v>52538</v>
      </c>
      <c r="G96" s="395">
        <f t="shared" si="21"/>
        <v>318317.23439999996</v>
      </c>
      <c r="H96" s="401">
        <f t="shared" si="22"/>
        <v>9.2161955736998313E-2</v>
      </c>
    </row>
    <row r="97" spans="2:8" x14ac:dyDescent="0.25">
      <c r="B97" s="2"/>
      <c r="C97" s="3"/>
      <c r="D97" s="94"/>
      <c r="E97" s="3"/>
      <c r="F97" s="98" t="s">
        <v>343</v>
      </c>
      <c r="G97" s="396">
        <f>SUM(G93:G96)</f>
        <v>15627178.358000001</v>
      </c>
      <c r="H97" s="402">
        <f>SUM(H93:H96)</f>
        <v>4.5245156858656532</v>
      </c>
    </row>
    <row r="98" spans="2:8" x14ac:dyDescent="0.25">
      <c r="B98" s="100" t="s">
        <v>270</v>
      </c>
      <c r="C98" s="98" t="s">
        <v>271</v>
      </c>
      <c r="D98" s="93"/>
      <c r="E98" s="9"/>
      <c r="F98" s="9"/>
      <c r="G98" s="80"/>
      <c r="H98" s="400"/>
    </row>
    <row r="99" spans="2:8" x14ac:dyDescent="0.25">
      <c r="B99" s="2">
        <v>1</v>
      </c>
      <c r="C99" s="3" t="s">
        <v>272</v>
      </c>
      <c r="D99" s="94" t="s">
        <v>283</v>
      </c>
      <c r="E99" s="3">
        <f t="shared" ref="E99:E114" si="23">VLOOKUP(C99,RekapVolume,3,FALSE)</f>
        <v>12.774000000000001</v>
      </c>
      <c r="F99" s="344">
        <f>HSP!G28</f>
        <v>107800</v>
      </c>
      <c r="G99" s="394">
        <f t="shared" ref="G99:G114" si="24">E99*F99</f>
        <v>1377037.2000000002</v>
      </c>
      <c r="H99" s="398">
        <f t="shared" ref="H99:H114" si="25">G99/$G$119*100</f>
        <v>0.39869170676170002</v>
      </c>
    </row>
    <row r="100" spans="2:8" x14ac:dyDescent="0.25">
      <c r="B100" s="2">
        <v>2</v>
      </c>
      <c r="C100" s="3" t="s">
        <v>276</v>
      </c>
      <c r="D100" s="94" t="s">
        <v>282</v>
      </c>
      <c r="E100" s="3">
        <f t="shared" si="23"/>
        <v>24.959999999999997</v>
      </c>
      <c r="F100" s="344">
        <f>HSP!G177</f>
        <v>108051</v>
      </c>
      <c r="G100" s="394">
        <f t="shared" si="24"/>
        <v>2696952.9599999995</v>
      </c>
      <c r="H100" s="398">
        <f t="shared" si="25"/>
        <v>0.78084512072616374</v>
      </c>
    </row>
    <row r="101" spans="2:8" x14ac:dyDescent="0.25">
      <c r="B101" s="2">
        <v>3</v>
      </c>
      <c r="C101" s="3" t="s">
        <v>313</v>
      </c>
      <c r="D101" s="94" t="s">
        <v>283</v>
      </c>
      <c r="E101" s="3">
        <f t="shared" si="23"/>
        <v>0.432</v>
      </c>
      <c r="F101" s="344">
        <f>HSP!G52</f>
        <v>885381</v>
      </c>
      <c r="G101" s="394">
        <f t="shared" si="24"/>
        <v>382484.592</v>
      </c>
      <c r="H101" s="398">
        <f t="shared" si="25"/>
        <v>0.11074024346948103</v>
      </c>
    </row>
    <row r="102" spans="2:8" x14ac:dyDescent="0.25">
      <c r="B102" s="2">
        <v>4</v>
      </c>
      <c r="C102" s="3" t="s">
        <v>1898</v>
      </c>
      <c r="D102" s="94" t="s">
        <v>283</v>
      </c>
      <c r="E102" s="3">
        <f t="shared" si="23"/>
        <v>0.42750000000000005</v>
      </c>
      <c r="F102" s="344">
        <f>HSP!G38</f>
        <v>440426</v>
      </c>
      <c r="G102" s="394">
        <f t="shared" si="24"/>
        <v>188282.11500000002</v>
      </c>
      <c r="H102" s="398">
        <f t="shared" si="25"/>
        <v>5.4513064557771336E-2</v>
      </c>
    </row>
    <row r="103" spans="2:8" x14ac:dyDescent="0.25">
      <c r="B103" s="2">
        <v>5</v>
      </c>
      <c r="C103" s="3" t="s">
        <v>314</v>
      </c>
      <c r="D103" s="94" t="s">
        <v>283</v>
      </c>
      <c r="E103" s="3">
        <f t="shared" si="23"/>
        <v>0.432</v>
      </c>
      <c r="F103" s="344">
        <f>HSP!G41</f>
        <v>401852</v>
      </c>
      <c r="G103" s="394">
        <f t="shared" si="24"/>
        <v>173600.06399999998</v>
      </c>
      <c r="H103" s="398">
        <f t="shared" si="25"/>
        <v>5.0262190309819037E-2</v>
      </c>
    </row>
    <row r="104" spans="2:8" x14ac:dyDescent="0.25">
      <c r="B104" s="2">
        <v>6</v>
      </c>
      <c r="C104" s="3" t="s">
        <v>1899</v>
      </c>
      <c r="D104" s="94" t="s">
        <v>283</v>
      </c>
      <c r="E104" s="3">
        <f t="shared" si="23"/>
        <v>0.432</v>
      </c>
      <c r="F104" s="344">
        <f>HSP!G41</f>
        <v>401852</v>
      </c>
      <c r="G104" s="394">
        <f t="shared" si="24"/>
        <v>173600.06399999998</v>
      </c>
      <c r="H104" s="398">
        <f t="shared" si="25"/>
        <v>5.0262190309819037E-2</v>
      </c>
    </row>
    <row r="105" spans="2:8" x14ac:dyDescent="0.25">
      <c r="B105" s="2">
        <v>7</v>
      </c>
      <c r="C105" s="3" t="s">
        <v>315</v>
      </c>
      <c r="D105" s="94" t="s">
        <v>282</v>
      </c>
      <c r="E105" s="3">
        <f t="shared" si="23"/>
        <v>5.1199999999999992</v>
      </c>
      <c r="F105" s="344">
        <f>HSP!G40/2</f>
        <v>808665</v>
      </c>
      <c r="G105" s="394">
        <f t="shared" si="24"/>
        <v>4140364.7999999993</v>
      </c>
      <c r="H105" s="398">
        <f t="shared" si="25"/>
        <v>1.1987541866901374</v>
      </c>
    </row>
    <row r="106" spans="2:8" x14ac:dyDescent="0.25">
      <c r="B106" s="2">
        <v>8</v>
      </c>
      <c r="C106" s="3" t="s">
        <v>316</v>
      </c>
      <c r="D106" s="94" t="s">
        <v>283</v>
      </c>
      <c r="E106" s="3">
        <f t="shared" si="23"/>
        <v>0.28350000000000003</v>
      </c>
      <c r="F106" s="344">
        <f>HSP!G86</f>
        <v>7336880</v>
      </c>
      <c r="G106" s="394">
        <f t="shared" si="24"/>
        <v>2080005.4800000002</v>
      </c>
      <c r="H106" s="398">
        <f t="shared" si="25"/>
        <v>0.60222115633106288</v>
      </c>
    </row>
    <row r="107" spans="2:8" x14ac:dyDescent="0.25">
      <c r="B107" s="2">
        <v>9</v>
      </c>
      <c r="C107" s="3" t="s">
        <v>317</v>
      </c>
      <c r="D107" s="94" t="s">
        <v>283</v>
      </c>
      <c r="E107" s="3">
        <f t="shared" si="23"/>
        <v>0.20249999999999999</v>
      </c>
      <c r="F107" s="344">
        <f>HSP!G89</f>
        <v>8939854</v>
      </c>
      <c r="G107" s="394">
        <f t="shared" si="24"/>
        <v>1810320.4349999998</v>
      </c>
      <c r="H107" s="398">
        <f t="shared" si="25"/>
        <v>0.52413961221652772</v>
      </c>
    </row>
    <row r="108" spans="2:8" x14ac:dyDescent="0.25">
      <c r="B108" s="2">
        <v>10</v>
      </c>
      <c r="C108" s="3" t="s">
        <v>318</v>
      </c>
      <c r="D108" s="94" t="s">
        <v>283</v>
      </c>
      <c r="E108" s="3">
        <f t="shared" si="23"/>
        <v>0.11199999999999999</v>
      </c>
      <c r="F108" s="344">
        <f>HSP!G89</f>
        <v>8939854</v>
      </c>
      <c r="G108" s="394">
        <f t="shared" si="24"/>
        <v>1001263.6479999999</v>
      </c>
      <c r="H108" s="398">
        <f t="shared" si="25"/>
        <v>0.2898945015716104</v>
      </c>
    </row>
    <row r="109" spans="2:8" x14ac:dyDescent="0.25">
      <c r="B109" s="2">
        <v>11</v>
      </c>
      <c r="C109" s="3" t="s">
        <v>319</v>
      </c>
      <c r="D109" s="94" t="s">
        <v>283</v>
      </c>
      <c r="E109" s="3">
        <f t="shared" si="23"/>
        <v>0.24975</v>
      </c>
      <c r="F109" s="344">
        <f>HSP!G86</f>
        <v>7336880</v>
      </c>
      <c r="G109" s="394">
        <f t="shared" si="24"/>
        <v>1832385.78</v>
      </c>
      <c r="H109" s="398">
        <f t="shared" si="25"/>
        <v>0.5305281615297458</v>
      </c>
    </row>
    <row r="110" spans="2:8" x14ac:dyDescent="0.25">
      <c r="B110" s="2">
        <v>12</v>
      </c>
      <c r="C110" s="3" t="s">
        <v>320</v>
      </c>
      <c r="D110" s="94" t="s">
        <v>283</v>
      </c>
      <c r="E110" s="3">
        <f t="shared" si="23"/>
        <v>0.16800000000000001</v>
      </c>
      <c r="F110" s="344">
        <f>HSP!G86</f>
        <v>7336880</v>
      </c>
      <c r="G110" s="394">
        <f t="shared" si="24"/>
        <v>1232595.8400000001</v>
      </c>
      <c r="H110" s="398">
        <f t="shared" si="25"/>
        <v>0.35687179634433353</v>
      </c>
    </row>
    <row r="111" spans="2:8" x14ac:dyDescent="0.25">
      <c r="B111" s="2">
        <v>13</v>
      </c>
      <c r="C111" s="3" t="s">
        <v>321</v>
      </c>
      <c r="D111" s="94" t="s">
        <v>283</v>
      </c>
      <c r="E111" s="3">
        <f t="shared" si="23"/>
        <v>0.59075</v>
      </c>
      <c r="F111" s="344">
        <f>HSP!G89</f>
        <v>8939854</v>
      </c>
      <c r="G111" s="394">
        <f t="shared" si="24"/>
        <v>5281218.7505000001</v>
      </c>
      <c r="H111" s="398">
        <f t="shared" si="25"/>
        <v>1.5290640786020433</v>
      </c>
    </row>
    <row r="112" spans="2:8" x14ac:dyDescent="0.25">
      <c r="B112" s="2">
        <v>14</v>
      </c>
      <c r="C112" s="3" t="s">
        <v>322</v>
      </c>
      <c r="D112" s="94" t="s">
        <v>284</v>
      </c>
      <c r="E112" s="3">
        <f t="shared" si="23"/>
        <v>3</v>
      </c>
      <c r="F112" s="344">
        <f>HSP!G448</f>
        <v>154222</v>
      </c>
      <c r="G112" s="394">
        <f t="shared" si="24"/>
        <v>462666</v>
      </c>
      <c r="H112" s="398">
        <f t="shared" si="25"/>
        <v>0.13395505742372732</v>
      </c>
    </row>
    <row r="113" spans="2:8" x14ac:dyDescent="0.25">
      <c r="B113" s="2">
        <v>15</v>
      </c>
      <c r="C113" s="3" t="s">
        <v>323</v>
      </c>
      <c r="D113" s="94" t="s">
        <v>286</v>
      </c>
      <c r="E113" s="3">
        <f t="shared" si="23"/>
        <v>1</v>
      </c>
      <c r="F113" s="363">
        <v>100000</v>
      </c>
      <c r="G113" s="394">
        <f t="shared" si="24"/>
        <v>100000</v>
      </c>
      <c r="H113" s="398">
        <f t="shared" si="25"/>
        <v>2.8952863928563437E-2</v>
      </c>
    </row>
    <row r="114" spans="2:8" x14ac:dyDescent="0.25">
      <c r="B114" s="2">
        <v>16</v>
      </c>
      <c r="C114" s="3" t="s">
        <v>324</v>
      </c>
      <c r="D114" s="94" t="s">
        <v>283</v>
      </c>
      <c r="E114" s="3">
        <f t="shared" si="23"/>
        <v>34.14</v>
      </c>
      <c r="F114" s="362">
        <f>HSP!G157</f>
        <v>178223</v>
      </c>
      <c r="G114" s="395">
        <f t="shared" si="24"/>
        <v>6084533.2199999997</v>
      </c>
      <c r="H114" s="401">
        <f t="shared" si="25"/>
        <v>1.7616466238748394</v>
      </c>
    </row>
    <row r="115" spans="2:8" x14ac:dyDescent="0.25">
      <c r="B115" s="2"/>
      <c r="C115" s="3"/>
      <c r="D115" s="94"/>
      <c r="E115" s="3"/>
      <c r="F115" s="98" t="s">
        <v>344</v>
      </c>
      <c r="G115" s="396">
        <f>SUM(G99:G114)</f>
        <v>29017310.9485</v>
      </c>
      <c r="H115" s="402">
        <f>SUM(H99:H114)</f>
        <v>8.4013425546473446</v>
      </c>
    </row>
    <row r="116" spans="2:8" x14ac:dyDescent="0.25">
      <c r="B116" s="99" t="s">
        <v>325</v>
      </c>
      <c r="C116" s="97" t="s">
        <v>326</v>
      </c>
      <c r="D116" s="94"/>
      <c r="E116" s="3"/>
      <c r="F116" s="3"/>
      <c r="G116" s="14"/>
      <c r="H116" s="398"/>
    </row>
    <row r="117" spans="2:8" x14ac:dyDescent="0.25">
      <c r="B117" s="2">
        <v>1</v>
      </c>
      <c r="C117" s="3" t="s">
        <v>327</v>
      </c>
      <c r="D117" s="94" t="s">
        <v>816</v>
      </c>
      <c r="E117" s="3">
        <f>E10</f>
        <v>200</v>
      </c>
      <c r="F117" s="362">
        <f>F10/3</f>
        <v>7700</v>
      </c>
      <c r="G117" s="395">
        <f>E117*F117</f>
        <v>1540000</v>
      </c>
      <c r="H117" s="401">
        <f t="shared" ref="H117" si="26">G117/$G$119*100</f>
        <v>0.44587410449987691</v>
      </c>
    </row>
    <row r="118" spans="2:8" x14ac:dyDescent="0.25">
      <c r="B118" s="389"/>
      <c r="C118" s="96"/>
      <c r="D118" s="390"/>
      <c r="E118" s="96"/>
      <c r="F118" s="391" t="s">
        <v>345</v>
      </c>
      <c r="G118" s="397">
        <f>SUM(G117)</f>
        <v>1540000</v>
      </c>
      <c r="H118" s="403">
        <f>SUM(H117)</f>
        <v>0.44587410449987691</v>
      </c>
    </row>
    <row r="119" spans="2:8" x14ac:dyDescent="0.25">
      <c r="B119" s="8"/>
      <c r="C119" s="9"/>
      <c r="D119" s="93"/>
      <c r="E119" s="9"/>
      <c r="F119" s="98" t="s">
        <v>1937</v>
      </c>
      <c r="G119" s="396">
        <f>G14+G20+G27+G49+G57+G64+G68+G77+G91+G97+G115+G118</f>
        <v>345388975.15193665</v>
      </c>
      <c r="H119" s="392">
        <f>H14+H20+H27+H49+H57+H64+H68+H77+H91+H97+H115+H118</f>
        <v>100.00000000000003</v>
      </c>
    </row>
    <row r="120" spans="2:8" ht="15.75" thickBot="1" x14ac:dyDescent="0.3">
      <c r="B120" s="5"/>
      <c r="C120" s="6"/>
      <c r="D120" s="95"/>
      <c r="E120" s="6"/>
      <c r="F120" s="6"/>
      <c r="G120" s="17"/>
      <c r="H120" s="399"/>
    </row>
    <row r="121" spans="2:8" ht="15.75" thickTop="1" x14ac:dyDescent="0.25"/>
  </sheetData>
  <mergeCells count="7">
    <mergeCell ref="H6:H7"/>
    <mergeCell ref="B6:B7"/>
    <mergeCell ref="C6:C7"/>
    <mergeCell ref="D6:D7"/>
    <mergeCell ref="E6:E7"/>
    <mergeCell ref="F6:G6"/>
    <mergeCell ref="B3:H3"/>
  </mergeCells>
  <printOptions horizontalCentered="1"/>
  <pageMargins left="0.7" right="0.7" top="0.75" bottom="0.75" header="0.3" footer="0.3"/>
  <pageSetup paperSize="9" orientation="landscape" horizontalDpi="1200" verticalDpi="1200" r:id="rId1"/>
  <rowBreaks count="4" manualBreakCount="4">
    <brk id="27" min="1" max="7" man="1"/>
    <brk id="57" min="1" max="7" man="1"/>
    <brk id="77" min="1" max="7" man="1"/>
    <brk id="97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Rekap RAB</vt:lpstr>
      <vt:lpstr>RAB</vt:lpstr>
      <vt:lpstr>Rekap Volume</vt:lpstr>
      <vt:lpstr>Volume</vt:lpstr>
      <vt:lpstr>HSP</vt:lpstr>
      <vt:lpstr>AHSP</vt:lpstr>
      <vt:lpstr>Bahan</vt:lpstr>
      <vt:lpstr>Upah</vt:lpstr>
      <vt:lpstr>Bobot Pekerjaan</vt:lpstr>
      <vt:lpstr>Time Schedulle &amp; Kurva S</vt:lpstr>
      <vt:lpstr>AHSP</vt:lpstr>
      <vt:lpstr>Bahan</vt:lpstr>
      <vt:lpstr>AHSP!Print_Area</vt:lpstr>
      <vt:lpstr>Bahan!Print_Area</vt:lpstr>
      <vt:lpstr>'Bobot Pekerjaan'!Print_Area</vt:lpstr>
      <vt:lpstr>RAB!Print_Area</vt:lpstr>
      <vt:lpstr>'Rekap RAB'!Print_Area</vt:lpstr>
      <vt:lpstr>'Rekap Volume'!Print_Area</vt:lpstr>
      <vt:lpstr>'Time Schedulle &amp; Kurva S'!Print_Area</vt:lpstr>
      <vt:lpstr>Upah!Print_Area</vt:lpstr>
      <vt:lpstr>Volume!Print_Area</vt:lpstr>
      <vt:lpstr>Bahan!Print_Titles</vt:lpstr>
      <vt:lpstr>'Bobot Pekerjaan'!Print_Titles</vt:lpstr>
      <vt:lpstr>RAB!Print_Titles</vt:lpstr>
      <vt:lpstr>'Rekap Volume'!Print_Titles</vt:lpstr>
      <vt:lpstr>'Time Schedulle &amp; Kurva S'!Print_Titles</vt:lpstr>
      <vt:lpstr>Upah!Print_Titles</vt:lpstr>
      <vt:lpstr>Volume!Print_Titles</vt:lpstr>
      <vt:lpstr>RekapVolume</vt:lpstr>
      <vt:lpstr>Upah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arya anggadipa</cp:lastModifiedBy>
  <cp:lastPrinted>2024-11-11T03:34:37Z</cp:lastPrinted>
  <dcterms:created xsi:type="dcterms:W3CDTF">2015-06-05T18:17:20Z</dcterms:created>
  <dcterms:modified xsi:type="dcterms:W3CDTF">2024-11-11T12:00:11Z</dcterms:modified>
</cp:coreProperties>
</file>