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defaultThemeVersion="124226"/>
  <mc:AlternateContent xmlns:mc="http://schemas.openxmlformats.org/markup-compatibility/2006">
    <mc:Choice Requires="x15">
      <x15ac:absPath xmlns:x15ac="http://schemas.microsoft.com/office/spreadsheetml/2010/11/ac" url="D:\JENI JOB\MK_Perpajakan\"/>
    </mc:Choice>
  </mc:AlternateContent>
  <xr:revisionPtr revIDLastSave="0" documentId="13_ncr:1_{DC8C34E5-417B-405F-B513-E5A17045E940}" xr6:coauthVersionLast="36" xr6:coauthVersionMax="36" xr10:uidLastSave="{00000000-0000-0000-0000-000000000000}"/>
  <bookViews>
    <workbookView xWindow="480" yWindow="0" windowWidth="11830" windowHeight="5920" activeTab="4" xr2:uid="{00000000-000D-0000-FFFF-FFFF00000000}"/>
  </bookViews>
  <sheets>
    <sheet name="no 1" sheetId="16" r:id="rId1"/>
    <sheet name="no 2 (anton)" sheetId="20" r:id="rId2"/>
    <sheet name="no 2 (anton) (2)" sheetId="26" r:id="rId3"/>
    <sheet name="PEK BEBAS" sheetId="22" r:id="rId4"/>
    <sheet name=" td memiliki NPWP" sheetId="24" r:id="rId5"/>
    <sheet name="pindah tugas" sheetId="5" r:id="rId6"/>
    <sheet name="upah" sheetId="3" r:id="rId7"/>
  </sheets>
  <calcPr calcId="191029"/>
</workbook>
</file>

<file path=xl/calcChain.xml><?xml version="1.0" encoding="utf-8"?>
<calcChain xmlns="http://schemas.openxmlformats.org/spreadsheetml/2006/main">
  <c r="E52" i="26" l="1"/>
  <c r="E46" i="26"/>
  <c r="E45" i="26"/>
  <c r="D50" i="26"/>
  <c r="D45" i="26"/>
  <c r="D33" i="26"/>
  <c r="D39" i="26" s="1"/>
  <c r="E27" i="26"/>
  <c r="D15" i="26"/>
  <c r="D18" i="26" s="1"/>
  <c r="E22" i="26" l="1"/>
  <c r="E23" i="26" s="1"/>
  <c r="E25" i="26" s="1"/>
  <c r="D28" i="26" s="1"/>
  <c r="E28" i="26" s="1"/>
  <c r="D21" i="26"/>
  <c r="D36" i="26"/>
  <c r="E29" i="26" l="1"/>
  <c r="D38" i="26"/>
  <c r="E40" i="26"/>
  <c r="E41" i="26" s="1"/>
  <c r="E43" i="26" s="1"/>
  <c r="D51" i="26" s="1"/>
  <c r="E51" i="26" s="1"/>
  <c r="M21" i="22"/>
  <c r="E50" i="26" l="1"/>
  <c r="D20" i="24"/>
  <c r="D19" i="24"/>
  <c r="D18" i="24"/>
  <c r="D15" i="24"/>
  <c r="D10" i="24"/>
  <c r="D13" i="24" s="1"/>
  <c r="D14" i="24" s="1"/>
  <c r="O7" i="24"/>
  <c r="O6" i="24"/>
  <c r="O5" i="24"/>
  <c r="O4" i="24"/>
  <c r="D16" i="24" l="1"/>
  <c r="C21" i="24" s="1"/>
  <c r="D21" i="24" s="1"/>
  <c r="D23" i="24"/>
  <c r="D24" i="24" s="1"/>
  <c r="D25" i="24" s="1"/>
  <c r="I17" i="22"/>
  <c r="I16" i="22"/>
  <c r="I15" i="22"/>
  <c r="F21" i="22"/>
  <c r="I21" i="22" s="1"/>
  <c r="F20" i="22"/>
  <c r="I20" i="22" s="1"/>
  <c r="F19" i="22"/>
  <c r="I19" i="22" s="1"/>
  <c r="F18" i="22"/>
  <c r="I18" i="22" s="1"/>
  <c r="F17" i="22"/>
  <c r="F16" i="22"/>
  <c r="F15" i="22"/>
  <c r="F14" i="22"/>
  <c r="I14" i="22" s="1"/>
  <c r="F13" i="22"/>
  <c r="I13" i="22" s="1"/>
  <c r="F12" i="22"/>
  <c r="I12" i="22" s="1"/>
  <c r="F11" i="22"/>
  <c r="I11" i="22" s="1"/>
  <c r="F10" i="22"/>
  <c r="I10" i="22" s="1"/>
  <c r="E22" i="22"/>
  <c r="D15" i="20"/>
  <c r="D18" i="20" s="1"/>
  <c r="I22" i="22" l="1"/>
  <c r="D20" i="20"/>
  <c r="D21" i="20"/>
  <c r="E22" i="20" l="1"/>
  <c r="E23" i="20" s="1"/>
  <c r="C30" i="16"/>
  <c r="C25" i="16"/>
  <c r="C27" i="16" s="1"/>
  <c r="C31" i="16"/>
  <c r="C17" i="16"/>
  <c r="C16" i="16"/>
  <c r="C18" i="16" s="1"/>
  <c r="E25" i="20" l="1"/>
  <c r="D28" i="20" s="1"/>
  <c r="E29" i="20" l="1"/>
  <c r="C39" i="5" l="1"/>
  <c r="D36" i="5"/>
  <c r="C38" i="5" s="1"/>
  <c r="C24" i="5"/>
  <c r="D21" i="5"/>
  <c r="C23" i="5" s="1"/>
  <c r="D25" i="5" s="1"/>
  <c r="C9" i="5"/>
  <c r="D6" i="5"/>
  <c r="D8" i="3"/>
  <c r="C10" i="3" s="1"/>
  <c r="D10" i="3" s="1"/>
  <c r="C8" i="5" l="1"/>
  <c r="D10" i="5" s="1"/>
  <c r="D11" i="5" s="1"/>
  <c r="D12" i="5" s="1"/>
  <c r="D15" i="5" s="1"/>
  <c r="D16" i="5" s="1"/>
  <c r="D17" i="5" s="1"/>
  <c r="D40" i="5"/>
  <c r="D41" i="5" s="1"/>
  <c r="D26" i="5"/>
  <c r="D42" i="5" l="1"/>
  <c r="D45" i="5" s="1"/>
  <c r="D46" i="5" s="1"/>
  <c r="D47" i="5" s="1"/>
  <c r="D27" i="5"/>
  <c r="D30" i="5" s="1"/>
  <c r="D31" i="5" s="1"/>
  <c r="D32" i="5" s="1"/>
  <c r="F49" i="5" l="1"/>
</calcChain>
</file>

<file path=xl/sharedStrings.xml><?xml version="1.0" encoding="utf-8"?>
<sst xmlns="http://schemas.openxmlformats.org/spreadsheetml/2006/main" count="312" uniqueCount="170">
  <si>
    <t>(TK/1)</t>
  </si>
  <si>
    <t>Gaji</t>
  </si>
  <si>
    <t>Lembur</t>
  </si>
  <si>
    <t>B jab</t>
  </si>
  <si>
    <t>P Netto</t>
  </si>
  <si>
    <t>PTKP</t>
  </si>
  <si>
    <t>PHKP</t>
  </si>
  <si>
    <t>tarif psl 17</t>
  </si>
  <si>
    <t>PPh 21 setahun</t>
  </si>
  <si>
    <t>Gaji setahun</t>
  </si>
  <si>
    <t>Bonus</t>
  </si>
  <si>
    <t>Penghasilan bruto setahun</t>
  </si>
  <si>
    <t>Pengurangan</t>
  </si>
  <si>
    <t>Bi Jabatan</t>
  </si>
  <si>
    <t>Iuran Pensiun</t>
  </si>
  <si>
    <t>TK</t>
  </si>
  <si>
    <t>PHKP/setahun</t>
  </si>
  <si>
    <t>PPh 21 terutang</t>
  </si>
  <si>
    <t>Contoh 26</t>
  </si>
  <si>
    <t>perminggu</t>
  </si>
  <si>
    <t>upah perhari</t>
  </si>
  <si>
    <t>Upah dibayarkan perminggu</t>
  </si>
  <si>
    <t>PPh 21 atas penghasilan pegawai yang dipindah tugaskan dalam tahun berjalan</t>
  </si>
  <si>
    <t>A</t>
  </si>
  <si>
    <t>Gaji/bln</t>
  </si>
  <si>
    <t>Jakarta selama 5 bln</t>
  </si>
  <si>
    <t>Gaji selama di Jkt</t>
  </si>
  <si>
    <t>5 bln</t>
  </si>
  <si>
    <t>12/5</t>
  </si>
  <si>
    <t>Penghasilan Netto</t>
  </si>
  <si>
    <t>Penghasilan Netto disetahunkan</t>
  </si>
  <si>
    <t>PPh 21 terutang atas Gaji setahun</t>
  </si>
  <si>
    <t>PPh 21 terutang Jan sd Mei 2016</t>
  </si>
  <si>
    <t>5/12</t>
  </si>
  <si>
    <t>Bandung, selama 4 bln</t>
  </si>
  <si>
    <t>Jan sd Mei</t>
  </si>
  <si>
    <t>Juni Sd Sept</t>
  </si>
  <si>
    <t>B</t>
  </si>
  <si>
    <t>4 bln</t>
  </si>
  <si>
    <t>12/4</t>
  </si>
  <si>
    <t>4/12</t>
  </si>
  <si>
    <t>PPh 21 terutang Juni sd Sept 2016</t>
  </si>
  <si>
    <t>C</t>
  </si>
  <si>
    <t>Garut, selama 3 bln</t>
  </si>
  <si>
    <t>Okt Sd Des</t>
  </si>
  <si>
    <t>3 bln</t>
  </si>
  <si>
    <t>12/3</t>
  </si>
  <si>
    <t>3/12</t>
  </si>
  <si>
    <t>a</t>
  </si>
  <si>
    <t>b</t>
  </si>
  <si>
    <t>DPP</t>
  </si>
  <si>
    <t>PPh 21</t>
  </si>
  <si>
    <t>menerima lembur Rp.1.000.000,-</t>
  </si>
  <si>
    <t>ibu Widya memiliki penghasilan sebesar Rp.5 juta/bln dari PT X</t>
  </si>
  <si>
    <t>jika td memiliki NPWP</t>
  </si>
  <si>
    <t>Gaji selama di Bdg</t>
  </si>
  <si>
    <t>Gaji selama di Garut</t>
  </si>
  <si>
    <t>PPh 21 terutang Okt sd Des 2016</t>
  </si>
  <si>
    <t>PPh 21 terutang 2016</t>
  </si>
  <si>
    <t>Form 1721 A1 dr Jkt</t>
  </si>
  <si>
    <t>Form 1721 A1 dr Bdg</t>
  </si>
  <si>
    <t>Form 1721 A1 dr Garut</t>
  </si>
  <si>
    <t>dalam 1 minggu menghasilkan/merakit 24 TV</t>
  </si>
  <si>
    <t>Karyawan persh X dan hanya memperoleh penghasilan dari Persh X, maka bisa penghasilan dikurangkan PTKP</t>
  </si>
  <si>
    <t>Rizal Fahmi  (TK), upah Rp200.000,-/TV, dalam 1 minggu ada 6 hari kerja</t>
  </si>
  <si>
    <t>PINDAH  TUGAS</t>
  </si>
  <si>
    <t>dikenakan PPh</t>
  </si>
  <si>
    <t>(5 bulan)</t>
  </si>
  <si>
    <t>PPh 21 atas gaji dan THR (penghasilan setahun)</t>
  </si>
  <si>
    <t>THR</t>
  </si>
  <si>
    <t>Pengurangan:</t>
  </si>
  <si>
    <t>Biaya Jabatan : 5%</t>
  </si>
  <si>
    <t>Penghasilan kena pajak</t>
  </si>
  <si>
    <t xml:space="preserve">PPh 21 atas gaji </t>
  </si>
  <si>
    <t>PPh 21 atas Bonus</t>
  </si>
  <si>
    <t>PPh 21 atas gaji dan THR setahun</t>
  </si>
  <si>
    <t>PPh 21 terhutang setahun</t>
  </si>
  <si>
    <t xml:space="preserve">Penghsln  Bruto </t>
  </si>
  <si>
    <r>
      <t>a.</t>
    </r>
    <r>
      <rPr>
        <sz val="7"/>
        <color theme="1"/>
        <rFont val="Times New Roman"/>
        <family val="1"/>
      </rPr>
      <t xml:space="preserve">      </t>
    </r>
    <r>
      <rPr>
        <sz val="10"/>
        <color theme="1"/>
        <rFont val="Times New Roman"/>
        <family val="1"/>
      </rPr>
      <t>Berapa PPh 21 yang harus dipotong oleh PT Duta Sarana apabila Bapak Nasrudin dalam melakukan tagihan tidak merinci pengeluarannya (tidak melampirkan nama, NIK, upah penjahit, bahan tambahan)?</t>
    </r>
  </si>
  <si>
    <t xml:space="preserve">Penghasilan Netto </t>
  </si>
  <si>
    <r>
      <t>1.</t>
    </r>
    <r>
      <rPr>
        <sz val="7"/>
        <color theme="1"/>
        <rFont val="Times New Roman"/>
        <family val="1"/>
      </rPr>
      <t xml:space="preserve">      </t>
    </r>
    <r>
      <rPr>
        <sz val="10"/>
        <color theme="1"/>
        <rFont val="Times New Roman"/>
        <family val="1"/>
      </rPr>
      <t xml:space="preserve">Bapak Nasrudin  (ber – NPWP) mengikat kontrak  dengan PT Duta Sarana pada tahun 2016 untuk pembuatan baju seragam karyawan berdasarkan model dan spesifikasi yang telah ditentukan oleh PT Duta Sarana. Dalam kontrak disepakati bahwa PT Duta Sarana akan menyediakan bahan baku utama berupa kain dan Bapak Nasrudin akan menyediakan bahan tambahan. Imbalan yang disepakati atas kontrak tersebut adalah Rp </t>
    </r>
    <r>
      <rPr>
        <b/>
        <sz val="10"/>
        <color theme="1"/>
        <rFont val="Times New Roman"/>
        <family val="1"/>
      </rPr>
      <t>50.000.000,- tidak termasuk biaya tambahan.</t>
    </r>
    <r>
      <rPr>
        <sz val="10"/>
        <color theme="1"/>
        <rFont val="Times New Roman"/>
        <family val="1"/>
      </rPr>
      <t xml:space="preserve"> Dalam memenuhi kontrak pembuatan seragam ini, Bapak Nasrudin menggunakan 4 orang tukang jahit (TK 0) dengan membayarkan upah borongan masing-masing sebesar Rp 5.000.000,- yang diterima pada bulan Juni 2016 dan mengeluarkan biaya untuk bahan tambahan sebesar Rp 15.000.000,- </t>
    </r>
  </si>
  <si>
    <t>4 orang tukang jahit (TK 0) @ Rp 5.000.000,-</t>
  </si>
  <si>
    <t>Kontrak Rp.50.000.000,- tidak termasuk biaya tambahan.</t>
  </si>
  <si>
    <t>PPh 21 yang harus dipotong oleh PT Duta Sarana dr Bapak Nasrudin dalam melakukan tagihan tidak merinci pengeluarannya (tidak melampirkan nama, NIK, upah penjahit, bahan tambahan)</t>
  </si>
  <si>
    <r>
      <t xml:space="preserve">biaya untuk </t>
    </r>
    <r>
      <rPr>
        <b/>
        <sz val="11"/>
        <color theme="1"/>
        <rFont val="Calibri"/>
        <family val="2"/>
        <scheme val="minor"/>
      </rPr>
      <t>bahan tambahan</t>
    </r>
    <r>
      <rPr>
        <sz val="11"/>
        <color theme="1"/>
        <rFont val="Calibri"/>
        <family val="2"/>
        <charset val="1"/>
        <scheme val="minor"/>
      </rPr>
      <t xml:space="preserve"> sebesar Rp 15.000.000,-</t>
    </r>
  </si>
  <si>
    <t>Penghasilan Bruto : Rp.65.000.000,-</t>
  </si>
  <si>
    <t>Penghasilan Kena Pajak:65 juta</t>
  </si>
  <si>
    <t>tarif pajak sesuai pasal 17</t>
  </si>
  <si>
    <t>5% x Rp.50.000.000,-</t>
  </si>
  <si>
    <t>15% x Rp.Rp.15.000.000,-</t>
  </si>
  <si>
    <t>PPh 21 untuk Bapak Nasrudin (Bukan Pegawai)</t>
  </si>
  <si>
    <t>PPh Pasal 21 yang harus dipotong oleh PT Duta Sarana apabila dalam melakukan penagihan Bapak Nasrudin membuat rincian pengeluaran dan dilampiri bukti pendukung sesuai ketentuan yang berlaku</t>
  </si>
  <si>
    <t>Perincian yang dibuat:</t>
  </si>
  <si>
    <t>Penghasilan Kena Pajak:  30juta</t>
  </si>
  <si>
    <t>5% x Rp.30.000.000,-</t>
  </si>
  <si>
    <t>dengan melampirkan data Kary dan nota pembelian bahan</t>
  </si>
  <si>
    <t>Bapak Nasrudin berkewajiban memotong PPh 21 kary</t>
  </si>
  <si>
    <t>Karyawan 4orang @ Rp.5.000.000,-/bln</t>
  </si>
  <si>
    <t>Wanita td menikah</t>
  </si>
  <si>
    <t>laki menikah</t>
  </si>
  <si>
    <t>K/0</t>
  </si>
  <si>
    <t>laki menikah, tanggungan 2</t>
  </si>
  <si>
    <t>K/2</t>
  </si>
  <si>
    <t>istri bekerja</t>
  </si>
  <si>
    <t>K/I/2</t>
  </si>
  <si>
    <t>5%</t>
  </si>
  <si>
    <t>PTKP (penhsln td kena pajak)</t>
  </si>
  <si>
    <t>PHKP (penghasilan kena pajak)</t>
  </si>
  <si>
    <t xml:space="preserve"> +20%</t>
  </si>
  <si>
    <t>pengurang penghasilan:</t>
  </si>
  <si>
    <t>P netto disetahunkan</t>
  </si>
  <si>
    <t>PPh 21 atas Gaji dan THR (Penghasilan setahun)</t>
  </si>
  <si>
    <t>Gaji setahun (12 x Rp..............................)</t>
  </si>
  <si>
    <t>Rp..............................</t>
  </si>
  <si>
    <t>Rp……………………</t>
  </si>
  <si>
    <t>Pengurangan :</t>
  </si>
  <si>
    <t xml:space="preserve">Biaya jabatan </t>
  </si>
  <si>
    <t>Iuran pensiun setahun</t>
  </si>
  <si>
    <t>Penghasilan neto setahun</t>
  </si>
  <si>
    <t>PTKP setahun</t>
  </si>
  <si>
    <t>Penghasilan kena pajak setahun</t>
  </si>
  <si>
    <t>PPh 21 atas Gaji Setahun</t>
  </si>
  <si>
    <t>Biaya jabatan</t>
  </si>
  <si>
    <t>PPh pasal 21 terutang</t>
  </si>
  <si>
    <t xml:space="preserve"> </t>
  </si>
  <si>
    <t>PPh Pasal 21 atas Bonus</t>
  </si>
  <si>
    <t>PPh 21 atas gaji dan bonus setahun</t>
  </si>
  <si>
    <t>PPh 21 atas gaji setahun</t>
  </si>
  <si>
    <t>PPh 21 atas bonus</t>
  </si>
  <si>
    <t>Anton Suherman</t>
  </si>
  <si>
    <t>iuran pensiun 2% -- kary; perusahaan 3,7%</t>
  </si>
  <si>
    <t>iuran pensiun ===BPJS, pada saat menerima pensiun merupakan obyek PPh 21</t>
  </si>
  <si>
    <t>tunjangan (Rp.250.000)</t>
  </si>
  <si>
    <t xml:space="preserve">Penghasilan Bruto </t>
  </si>
  <si>
    <t>Penghasilan Bruto dg THR</t>
  </si>
  <si>
    <t>Penghasilan Netto dg THR</t>
  </si>
  <si>
    <t>iuran pensiun BPJS</t>
  </si>
  <si>
    <t>PTKP (TK/0)</t>
  </si>
  <si>
    <t>PPh 21 terhutang setahun dengan THR</t>
  </si>
  <si>
    <t>iuran pensiun BPJS ditanggung sendiri :2%</t>
  </si>
  <si>
    <t>Penghasilan kena pajak setahun dengan THR</t>
  </si>
  <si>
    <t>Tarif pasal 17</t>
  </si>
  <si>
    <t xml:space="preserve">pekerjaan bebas </t>
  </si>
  <si>
    <t>dokter, pengacara, notaris, akuntan, konsultan, arsitek, aktuaris</t>
  </si>
  <si>
    <t>bln</t>
  </si>
  <si>
    <t xml:space="preserve">tarif </t>
  </si>
  <si>
    <t>fee perbulan Rp.100.000.000,-</t>
  </si>
  <si>
    <r>
      <t>b.</t>
    </r>
    <r>
      <rPr>
        <sz val="7"/>
        <color theme="1"/>
        <rFont val="Times New Roman"/>
        <family val="1"/>
      </rPr>
      <t xml:space="preserve">      </t>
    </r>
    <r>
      <rPr>
        <sz val="10"/>
        <color theme="1"/>
        <rFont val="Times New Roman"/>
        <family val="1"/>
      </rPr>
      <t xml:space="preserve">Berapa PPh Pasal 21 yang harus dipotong oleh PT Duta Sarana apabila dalam melakukan penagihan Bapak Nasrudin membuat </t>
    </r>
    <r>
      <rPr>
        <b/>
        <sz val="10"/>
        <color theme="1"/>
        <rFont val="Times New Roman"/>
        <family val="1"/>
      </rPr>
      <t>rincian pengeluaran dan dilampiri bukti pendukung sesuai ketentuan yang berlaku</t>
    </r>
    <r>
      <rPr>
        <sz val="10"/>
        <color theme="1"/>
        <rFont val="Times New Roman"/>
        <family val="1"/>
      </rPr>
      <t>?</t>
    </r>
  </si>
  <si>
    <t>cat</t>
  </si>
  <si>
    <t>Bahan tambahan: kain var/bADGE , kancing, retsl</t>
  </si>
  <si>
    <t>tunjangan 250.000perbulan</t>
  </si>
  <si>
    <t>gaji Rp 6,5 Juta perbulan</t>
  </si>
  <si>
    <t>Gaji (Rp.6.500.000)</t>
  </si>
  <si>
    <t>Tunjangan Hari Raya THR sebesar 1 kali gaji</t>
  </si>
  <si>
    <t>PERHITUNGAN PPh 21 atas Bonus/THR</t>
  </si>
  <si>
    <t>contoh:</t>
  </si>
  <si>
    <t>selama 1 tahun</t>
  </si>
  <si>
    <t>1 bulan</t>
  </si>
  <si>
    <t>kontrak dengan PT XYZ pada tahun 2020</t>
  </si>
  <si>
    <t>Ibu AJS adalah Konsultan Pajak , dengan pekerjaan pada beberapa klien</t>
  </si>
  <si>
    <t>Penghsln  Bruto</t>
  </si>
  <si>
    <t>status belum menikah, memiliki anak angkat dan belum memiliki NPWP</t>
  </si>
  <si>
    <t>PPh 21 masa maret 2021</t>
  </si>
  <si>
    <t>Maret 2021</t>
  </si>
  <si>
    <t>gaji Rp 4,5 Juta perbulan</t>
  </si>
  <si>
    <t>Gaji (Rp.4.500.000)</t>
  </si>
  <si>
    <t>Penghasilan Netto disetahunkan dg THR (dikalikan 12 bulan)</t>
  </si>
  <si>
    <t>r</t>
  </si>
  <si>
    <t>Penghasilan Netto disetahunkan (dikalikan dengan 12 bulan)</t>
  </si>
  <si>
    <t>PPh 21 atas THR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</si>
</sst>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23"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
      <scheme val="minor"/>
    </font>
    <font>
      <b/>
      <sz val="11"/>
      <color theme="1"/>
      <name val="Calibri"/>
      <family val="2"/>
      <scheme val="minor"/>
    </font>
    <font>
      <sz val="11"/>
      <color theme="0"/>
      <name val="Calibri"/>
      <family val="2"/>
      <charset val="1"/>
      <scheme val="minor"/>
    </font>
    <font>
      <sz val="11"/>
      <color rgb="FFFF0000"/>
      <name val="Calibri"/>
      <family val="2"/>
      <charset val="1"/>
      <scheme val="minor"/>
    </font>
    <font>
      <b/>
      <sz val="13"/>
      <color theme="1"/>
      <name val="Calibri"/>
      <family val="2"/>
      <scheme val="minor"/>
    </font>
    <font>
      <sz val="13"/>
      <color theme="1"/>
      <name val="Calibri"/>
      <family val="2"/>
      <scheme val="minor"/>
    </font>
    <font>
      <b/>
      <sz val="9"/>
      <color theme="1"/>
      <name val="Calibri"/>
      <family val="2"/>
      <charset val="1"/>
      <scheme val="minor"/>
    </font>
    <font>
      <sz val="9"/>
      <color theme="1"/>
      <name val="Calibri"/>
      <family val="2"/>
      <charset val="1"/>
      <scheme val="minor"/>
    </font>
    <font>
      <sz val="10"/>
      <color theme="1"/>
      <name val="Times New Roman"/>
      <family val="1"/>
    </font>
    <font>
      <sz val="7"/>
      <color theme="1"/>
      <name val="Times New Roman"/>
      <family val="1"/>
    </font>
    <font>
      <b/>
      <sz val="10"/>
      <color theme="1"/>
      <name val="Times New Roman"/>
      <family val="1"/>
    </font>
    <font>
      <sz val="10"/>
      <color theme="1"/>
      <name val="Calibri"/>
      <family val="2"/>
      <scheme val="minor"/>
    </font>
    <font>
      <u/>
      <sz val="10"/>
      <color theme="1"/>
      <name val="Times New Roman"/>
      <family val="1"/>
    </font>
    <font>
      <i/>
      <sz val="11"/>
      <color theme="1"/>
      <name val="Calibri"/>
      <family val="2"/>
      <scheme val="minor"/>
    </font>
    <font>
      <u val="singleAccounting"/>
      <sz val="13"/>
      <color theme="1"/>
      <name val="Calibri"/>
      <family val="2"/>
      <scheme val="minor"/>
    </font>
    <font>
      <sz val="18"/>
      <color theme="1"/>
      <name val="Calibri"/>
      <family val="2"/>
      <charset val="1"/>
      <scheme val="minor"/>
    </font>
    <font>
      <b/>
      <sz val="18"/>
      <color theme="1"/>
      <name val="Calibri"/>
      <family val="2"/>
      <scheme val="minor"/>
    </font>
    <font>
      <u val="singleAccounting"/>
      <sz val="11"/>
      <color theme="1"/>
      <name val="Calibri"/>
      <family val="2"/>
      <scheme val="minor"/>
    </font>
    <font>
      <b/>
      <i/>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59999389629810485"/>
        <bgColor indexed="64"/>
      </patternFill>
    </fill>
  </fills>
  <borders count="10">
    <border>
      <left/>
      <right/>
      <top/>
      <bottom/>
      <diagonal/>
    </border>
    <border>
      <left/>
      <right/>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right/>
      <top/>
      <bottom style="dotted">
        <color indexed="64"/>
      </bottom>
      <diagonal/>
    </border>
    <border>
      <left style="dotted">
        <color indexed="64"/>
      </left>
      <right/>
      <top/>
      <bottom style="dotted">
        <color indexed="64"/>
      </bottom>
      <diagonal/>
    </border>
    <border>
      <left style="dotted">
        <color indexed="64"/>
      </left>
      <right/>
      <top/>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81">
    <xf numFmtId="0" fontId="0" fillId="0" borderId="0" xfId="0"/>
    <xf numFmtId="164" fontId="0" fillId="0" borderId="0" xfId="1" applyFont="1"/>
    <xf numFmtId="9" fontId="0" fillId="0" borderId="0" xfId="0" applyNumberFormat="1"/>
    <xf numFmtId="9" fontId="0" fillId="0" borderId="0" xfId="1" applyNumberFormat="1" applyFont="1"/>
    <xf numFmtId="0" fontId="5" fillId="0" borderId="0" xfId="0" applyFont="1"/>
    <xf numFmtId="164" fontId="5" fillId="0" borderId="0" xfId="1" applyFont="1"/>
    <xf numFmtId="13" fontId="0" fillId="0" borderId="0" xfId="1" quotePrefix="1" applyNumberFormat="1" applyFont="1"/>
    <xf numFmtId="164" fontId="0" fillId="0" borderId="0" xfId="1" quotePrefix="1" applyFont="1"/>
    <xf numFmtId="164" fontId="0" fillId="0" borderId="0" xfId="0" applyNumberFormat="1"/>
    <xf numFmtId="0" fontId="6" fillId="0" borderId="0" xfId="0" applyFont="1"/>
    <xf numFmtId="164" fontId="5" fillId="0" borderId="0" xfId="0" applyNumberFormat="1" applyFont="1"/>
    <xf numFmtId="0" fontId="8" fillId="0" borderId="0" xfId="0" applyFont="1"/>
    <xf numFmtId="0" fontId="9" fillId="0" borderId="0" xfId="0" applyFont="1"/>
    <xf numFmtId="164" fontId="9" fillId="0" borderId="0" xfId="1" applyFont="1"/>
    <xf numFmtId="164" fontId="8" fillId="0" borderId="0" xfId="1" applyFont="1"/>
    <xf numFmtId="164" fontId="9" fillId="2" borderId="0" xfId="1" applyFont="1" applyFill="1"/>
    <xf numFmtId="0" fontId="7" fillId="0" borderId="0" xfId="0" applyFont="1"/>
    <xf numFmtId="17" fontId="10" fillId="0" borderId="0" xfId="0" applyNumberFormat="1" applyFont="1"/>
    <xf numFmtId="164" fontId="11" fillId="0" borderId="0" xfId="1" applyFont="1"/>
    <xf numFmtId="0" fontId="11" fillId="0" borderId="0" xfId="0" applyFont="1"/>
    <xf numFmtId="164" fontId="11" fillId="0" borderId="1" xfId="1" applyFont="1" applyBorder="1"/>
    <xf numFmtId="164" fontId="11" fillId="0" borderId="0" xfId="0" applyNumberFormat="1" applyFont="1"/>
    <xf numFmtId="9" fontId="11" fillId="0" borderId="0" xfId="0" applyNumberFormat="1" applyFont="1"/>
    <xf numFmtId="0" fontId="12" fillId="0" borderId="0" xfId="0" applyFont="1" applyAlignment="1">
      <alignment horizontal="justify"/>
    </xf>
    <xf numFmtId="164" fontId="0" fillId="0" borderId="1" xfId="1" applyFont="1" applyBorder="1"/>
    <xf numFmtId="164" fontId="9" fillId="0" borderId="1" xfId="1" applyFont="1" applyBorder="1"/>
    <xf numFmtId="0" fontId="14" fillId="0" borderId="0" xfId="0" applyFont="1" applyAlignment="1">
      <alignment horizontal="justify"/>
    </xf>
    <xf numFmtId="0" fontId="5" fillId="0" borderId="0" xfId="0" applyFont="1" applyAlignment="1">
      <alignment horizontal="center"/>
    </xf>
    <xf numFmtId="164" fontId="11" fillId="0" borderId="0" xfId="1" quotePrefix="1" applyFont="1"/>
    <xf numFmtId="9" fontId="11" fillId="0" borderId="0" xfId="1" quotePrefix="1" applyNumberFormat="1" applyFont="1"/>
    <xf numFmtId="0" fontId="11" fillId="2" borderId="0" xfId="0" applyFont="1" applyFill="1"/>
    <xf numFmtId="164" fontId="11" fillId="2" borderId="0" xfId="1" applyFont="1" applyFill="1"/>
    <xf numFmtId="164" fontId="11" fillId="0" borderId="0" xfId="1" applyFont="1" applyBorder="1"/>
    <xf numFmtId="0" fontId="12" fillId="0" borderId="5" xfId="0" applyFont="1" applyBorder="1" applyAlignment="1">
      <alignment vertical="center"/>
    </xf>
    <xf numFmtId="0" fontId="12" fillId="0" borderId="6" xfId="0" applyFont="1" applyBorder="1" applyAlignment="1">
      <alignment vertical="center"/>
    </xf>
    <xf numFmtId="0" fontId="16" fillId="0" borderId="6" xfId="0" applyFont="1" applyBorder="1" applyAlignment="1">
      <alignment vertical="center"/>
    </xf>
    <xf numFmtId="0" fontId="15" fillId="0" borderId="5" xfId="0" applyFont="1" applyBorder="1" applyAlignment="1">
      <alignment vertical="center"/>
    </xf>
    <xf numFmtId="0" fontId="3" fillId="0" borderId="7" xfId="0" applyFont="1" applyBorder="1" applyAlignment="1">
      <alignment vertical="center" wrapText="1"/>
    </xf>
    <xf numFmtId="0" fontId="12" fillId="0" borderId="6" xfId="0" applyFont="1" applyBorder="1" applyAlignment="1">
      <alignment vertical="center" wrapText="1"/>
    </xf>
    <xf numFmtId="0" fontId="3" fillId="0" borderId="0" xfId="0" applyFont="1" applyAlignment="1">
      <alignment vertical="center" wrapText="1"/>
    </xf>
    <xf numFmtId="0" fontId="15" fillId="0" borderId="6" xfId="0" applyFont="1" applyBorder="1" applyAlignment="1">
      <alignment vertical="center"/>
    </xf>
    <xf numFmtId="0" fontId="17" fillId="0" borderId="0" xfId="0" applyFont="1"/>
    <xf numFmtId="164" fontId="18" fillId="0" borderId="0" xfId="1" applyFont="1"/>
    <xf numFmtId="0" fontId="19" fillId="0" borderId="0" xfId="0" applyFont="1"/>
    <xf numFmtId="164" fontId="19" fillId="0" borderId="0" xfId="1" applyFont="1"/>
    <xf numFmtId="164" fontId="19" fillId="2" borderId="0" xfId="1" applyFont="1" applyFill="1"/>
    <xf numFmtId="9" fontId="19" fillId="0" borderId="0" xfId="2" applyFont="1"/>
    <xf numFmtId="164" fontId="19" fillId="3" borderId="0" xfId="1" applyFont="1" applyFill="1"/>
    <xf numFmtId="164" fontId="19" fillId="4" borderId="0" xfId="1" applyFont="1" applyFill="1"/>
    <xf numFmtId="164" fontId="19" fillId="5" borderId="0" xfId="1" applyFont="1" applyFill="1"/>
    <xf numFmtId="0" fontId="20" fillId="0" borderId="0" xfId="0" applyFont="1"/>
    <xf numFmtId="164" fontId="19" fillId="0" borderId="0" xfId="0" applyNumberFormat="1" applyFont="1"/>
    <xf numFmtId="0" fontId="15" fillId="0" borderId="6" xfId="0" applyFont="1" applyBorder="1" applyAlignment="1">
      <alignment vertical="center"/>
    </xf>
    <xf numFmtId="0" fontId="2" fillId="0" borderId="0" xfId="0" applyFont="1"/>
    <xf numFmtId="164" fontId="2" fillId="2" borderId="0" xfId="1" applyFont="1" applyFill="1"/>
    <xf numFmtId="164" fontId="2" fillId="0" borderId="0" xfId="1" applyFont="1"/>
    <xf numFmtId="164" fontId="2" fillId="0" borderId="1" xfId="1" applyFont="1" applyBorder="1"/>
    <xf numFmtId="164" fontId="21" fillId="0" borderId="0" xfId="1" applyFont="1"/>
    <xf numFmtId="9" fontId="2" fillId="0" borderId="0" xfId="0" applyNumberFormat="1" applyFont="1"/>
    <xf numFmtId="164" fontId="5" fillId="0" borderId="1" xfId="1" applyFont="1" applyBorder="1"/>
    <xf numFmtId="0" fontId="3" fillId="0" borderId="0" xfId="0" applyFont="1" applyAlignment="1">
      <alignment vertical="center" wrapText="1"/>
    </xf>
    <xf numFmtId="0" fontId="15" fillId="0" borderId="6" xfId="0" applyFont="1" applyBorder="1" applyAlignment="1">
      <alignment vertical="center"/>
    </xf>
    <xf numFmtId="0" fontId="11" fillId="6" borderId="0" xfId="0" applyFont="1" applyFill="1"/>
    <xf numFmtId="164" fontId="11" fillId="6" borderId="0" xfId="1" applyFont="1" applyFill="1"/>
    <xf numFmtId="0" fontId="15" fillId="0" borderId="2" xfId="0" applyFont="1" applyBorder="1" applyAlignment="1">
      <alignment vertical="center"/>
    </xf>
    <xf numFmtId="0" fontId="15" fillId="0" borderId="4"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12" fillId="0" borderId="2" xfId="0" applyFont="1" applyBorder="1" applyAlignment="1">
      <alignment vertical="center"/>
    </xf>
    <xf numFmtId="0" fontId="12" fillId="0" borderId="4" xfId="0" applyFont="1" applyBorder="1" applyAlignment="1">
      <alignment vertical="center"/>
    </xf>
    <xf numFmtId="0" fontId="16" fillId="0" borderId="2" xfId="0" applyFont="1" applyBorder="1" applyAlignment="1">
      <alignment vertical="center"/>
    </xf>
    <xf numFmtId="0" fontId="16" fillId="0" borderId="4" xfId="0" applyFont="1" applyBorder="1" applyAlignment="1">
      <alignment vertical="center"/>
    </xf>
    <xf numFmtId="0" fontId="15" fillId="0" borderId="3" xfId="0" applyFont="1" applyBorder="1" applyAlignment="1">
      <alignment vertical="center"/>
    </xf>
    <xf numFmtId="0" fontId="3" fillId="0" borderId="9" xfId="0" applyFont="1" applyBorder="1" applyAlignment="1">
      <alignment vertical="center" wrapText="1"/>
    </xf>
    <xf numFmtId="0" fontId="3" fillId="0" borderId="0" xfId="0" applyFont="1" applyAlignment="1">
      <alignment vertical="center" wrapText="1"/>
    </xf>
    <xf numFmtId="0" fontId="15" fillId="0" borderId="8" xfId="0" applyFont="1" applyBorder="1" applyAlignment="1">
      <alignment vertical="center"/>
    </xf>
    <xf numFmtId="0" fontId="15" fillId="0" borderId="7" xfId="0" applyFont="1" applyBorder="1" applyAlignment="1">
      <alignment vertical="center"/>
    </xf>
    <xf numFmtId="0" fontId="15" fillId="0" borderId="6" xfId="0" applyFont="1" applyBorder="1" applyAlignment="1">
      <alignment vertical="center"/>
    </xf>
    <xf numFmtId="0" fontId="1" fillId="0" borderId="0" xfId="0" applyFont="1"/>
    <xf numFmtId="0" fontId="22" fillId="0" borderId="0" xfId="0" applyFont="1"/>
  </cellXfs>
  <cellStyles count="3">
    <cellStyle name="Comma [0]" xfId="1" builtinId="6"/>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294409</xdr:colOff>
      <xdr:row>0</xdr:row>
      <xdr:rowOff>35278</xdr:rowOff>
    </xdr:from>
    <xdr:to>
      <xdr:col>15</xdr:col>
      <xdr:colOff>346763</xdr:colOff>
      <xdr:row>13</xdr:row>
      <xdr:rowOff>105833</xdr:rowOff>
    </xdr:to>
    <xdr:pic>
      <xdr:nvPicPr>
        <xdr:cNvPr id="2" name="Picture 1">
          <a:extLst>
            <a:ext uri="{FF2B5EF4-FFF2-40B4-BE49-F238E27FC236}">
              <a16:creationId xmlns:a16="http://schemas.microsoft.com/office/drawing/2014/main" id="{A1640141-2274-459C-A825-E0FA255F370D}"/>
            </a:ext>
          </a:extLst>
        </xdr:cNvPr>
        <xdr:cNvPicPr>
          <a:picLocks noChangeAspect="1"/>
        </xdr:cNvPicPr>
      </xdr:nvPicPr>
      <xdr:blipFill>
        <a:blip xmlns:r="http://schemas.openxmlformats.org/officeDocument/2006/relationships" r:embed="rId1"/>
        <a:stretch>
          <a:fillRect/>
        </a:stretch>
      </xdr:blipFill>
      <xdr:spPr>
        <a:xfrm>
          <a:off x="6087020" y="35278"/>
          <a:ext cx="7714687" cy="256116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36"/>
  <sheetViews>
    <sheetView zoomScale="93" zoomScaleNormal="180" workbookViewId="0">
      <selection activeCell="B6" sqref="B6"/>
    </sheetView>
  </sheetViews>
  <sheetFormatPr defaultRowHeight="14.5" x14ac:dyDescent="0.35"/>
  <cols>
    <col min="2" max="2" width="75" customWidth="1"/>
    <col min="3" max="3" width="12" style="1" bestFit="1" customWidth="1"/>
  </cols>
  <sheetData>
    <row r="2" spans="1:3" ht="104.5" x14ac:dyDescent="0.35">
      <c r="B2" s="23" t="s">
        <v>80</v>
      </c>
    </row>
    <row r="3" spans="1:3" ht="39.5" x14ac:dyDescent="0.35">
      <c r="B3" s="23" t="s">
        <v>78</v>
      </c>
    </row>
    <row r="4" spans="1:3" ht="39.5" x14ac:dyDescent="0.35">
      <c r="B4" s="23" t="s">
        <v>147</v>
      </c>
    </row>
    <row r="5" spans="1:3" x14ac:dyDescent="0.35">
      <c r="B5" s="23"/>
    </row>
    <row r="6" spans="1:3" x14ac:dyDescent="0.35">
      <c r="A6" t="s">
        <v>148</v>
      </c>
      <c r="B6" t="s">
        <v>84</v>
      </c>
    </row>
    <row r="7" spans="1:3" x14ac:dyDescent="0.35">
      <c r="B7" t="s">
        <v>82</v>
      </c>
    </row>
    <row r="8" spans="1:3" x14ac:dyDescent="0.35">
      <c r="B8" t="s">
        <v>81</v>
      </c>
    </row>
    <row r="10" spans="1:3" ht="26.5" x14ac:dyDescent="0.35">
      <c r="A10" t="s">
        <v>48</v>
      </c>
      <c r="B10" s="26" t="s">
        <v>83</v>
      </c>
    </row>
    <row r="12" spans="1:3" x14ac:dyDescent="0.35">
      <c r="B12" t="s">
        <v>90</v>
      </c>
    </row>
    <row r="13" spans="1:3" x14ac:dyDescent="0.35">
      <c r="B13" t="s">
        <v>85</v>
      </c>
    </row>
    <row r="14" spans="1:3" x14ac:dyDescent="0.35">
      <c r="B14" t="s">
        <v>86</v>
      </c>
    </row>
    <row r="15" spans="1:3" x14ac:dyDescent="0.35">
      <c r="B15" t="s">
        <v>87</v>
      </c>
    </row>
    <row r="16" spans="1:3" x14ac:dyDescent="0.35">
      <c r="B16" t="s">
        <v>88</v>
      </c>
      <c r="C16" s="1">
        <f>5%*50000000</f>
        <v>2500000</v>
      </c>
    </row>
    <row r="17" spans="1:3" x14ac:dyDescent="0.35">
      <c r="B17" t="s">
        <v>89</v>
      </c>
      <c r="C17" s="24">
        <f>15%*15000000</f>
        <v>2250000</v>
      </c>
    </row>
    <row r="18" spans="1:3" x14ac:dyDescent="0.35">
      <c r="B18" t="s">
        <v>90</v>
      </c>
      <c r="C18" s="5">
        <f>SUM(C16:C17)</f>
        <v>4750000</v>
      </c>
    </row>
    <row r="20" spans="1:3" ht="39.5" x14ac:dyDescent="0.35">
      <c r="A20" t="s">
        <v>49</v>
      </c>
      <c r="B20" s="26" t="s">
        <v>91</v>
      </c>
    </row>
    <row r="22" spans="1:3" x14ac:dyDescent="0.35">
      <c r="B22" t="s">
        <v>90</v>
      </c>
    </row>
    <row r="23" spans="1:3" x14ac:dyDescent="0.35">
      <c r="B23" t="s">
        <v>85</v>
      </c>
      <c r="C23" s="1">
        <v>65000000</v>
      </c>
    </row>
    <row r="24" spans="1:3" x14ac:dyDescent="0.35">
      <c r="B24" s="16" t="s">
        <v>92</v>
      </c>
    </row>
    <row r="25" spans="1:3" x14ac:dyDescent="0.35">
      <c r="B25" t="s">
        <v>97</v>
      </c>
      <c r="C25" s="1">
        <f>4*5000000</f>
        <v>20000000</v>
      </c>
    </row>
    <row r="26" spans="1:3" x14ac:dyDescent="0.35">
      <c r="B26" t="s">
        <v>149</v>
      </c>
      <c r="C26" s="24">
        <v>15000000</v>
      </c>
    </row>
    <row r="27" spans="1:3" x14ac:dyDescent="0.35">
      <c r="B27" t="s">
        <v>29</v>
      </c>
      <c r="C27" s="5">
        <f>C23-(C25+C26)</f>
        <v>30000000</v>
      </c>
    </row>
    <row r="28" spans="1:3" x14ac:dyDescent="0.35">
      <c r="B28" t="s">
        <v>93</v>
      </c>
    </row>
    <row r="29" spans="1:3" x14ac:dyDescent="0.35">
      <c r="B29" t="s">
        <v>87</v>
      </c>
    </row>
    <row r="30" spans="1:3" x14ac:dyDescent="0.35">
      <c r="B30" t="s">
        <v>94</v>
      </c>
      <c r="C30" s="1">
        <f>5%*30000000</f>
        <v>1500000</v>
      </c>
    </row>
    <row r="31" spans="1:3" x14ac:dyDescent="0.35">
      <c r="B31" t="s">
        <v>90</v>
      </c>
      <c r="C31" s="5">
        <f>SUM(C30:C30)</f>
        <v>1500000</v>
      </c>
    </row>
    <row r="32" spans="1:3" x14ac:dyDescent="0.35">
      <c r="B32" t="s">
        <v>95</v>
      </c>
    </row>
    <row r="36" spans="2:2" x14ac:dyDescent="0.35">
      <c r="B36" t="s">
        <v>96</v>
      </c>
    </row>
  </sheetData>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2:J58"/>
  <sheetViews>
    <sheetView zoomScale="90" zoomScaleNormal="90" workbookViewId="0">
      <selection activeCell="B7" sqref="B7"/>
    </sheetView>
  </sheetViews>
  <sheetFormatPr defaultRowHeight="14.5" x14ac:dyDescent="0.35"/>
  <cols>
    <col min="2" max="2" width="44.36328125" bestFit="1" customWidth="1"/>
    <col min="3" max="3" width="6.36328125" customWidth="1"/>
    <col min="4" max="4" width="23.54296875" customWidth="1"/>
    <col min="5" max="5" width="22.81640625" customWidth="1"/>
  </cols>
  <sheetData>
    <row r="2" spans="1:10" x14ac:dyDescent="0.35">
      <c r="A2" s="4" t="s">
        <v>154</v>
      </c>
      <c r="B2" s="4"/>
      <c r="C2" s="4"/>
    </row>
    <row r="3" spans="1:10" x14ac:dyDescent="0.35">
      <c r="A3" s="4"/>
      <c r="B3" s="4" t="s">
        <v>155</v>
      </c>
      <c r="C3" s="4"/>
    </row>
    <row r="4" spans="1:10" ht="17" x14ac:dyDescent="0.4">
      <c r="B4" t="s">
        <v>129</v>
      </c>
      <c r="D4" s="12" t="s">
        <v>137</v>
      </c>
    </row>
    <row r="5" spans="1:10" x14ac:dyDescent="0.35">
      <c r="B5" s="41" t="s">
        <v>164</v>
      </c>
      <c r="C5" s="41"/>
    </row>
    <row r="6" spans="1:10" x14ac:dyDescent="0.35">
      <c r="B6" s="41" t="s">
        <v>150</v>
      </c>
      <c r="C6" s="41"/>
    </row>
    <row r="7" spans="1:10" x14ac:dyDescent="0.35">
      <c r="B7" t="s">
        <v>130</v>
      </c>
      <c r="E7" s="16"/>
      <c r="F7" s="16"/>
      <c r="G7" s="16"/>
      <c r="H7" s="16"/>
    </row>
    <row r="8" spans="1:10" x14ac:dyDescent="0.35">
      <c r="B8" s="16" t="s">
        <v>131</v>
      </c>
      <c r="C8" s="16"/>
      <c r="E8" s="16"/>
      <c r="F8" s="16"/>
      <c r="G8" s="16"/>
      <c r="H8" s="16"/>
    </row>
    <row r="9" spans="1:10" x14ac:dyDescent="0.35">
      <c r="B9" t="s">
        <v>153</v>
      </c>
    </row>
    <row r="11" spans="1:10" ht="17" x14ac:dyDescent="0.4">
      <c r="A11" s="11" t="s">
        <v>68</v>
      </c>
      <c r="D11" s="12"/>
      <c r="E11" s="12"/>
    </row>
    <row r="12" spans="1:10" ht="17" x14ac:dyDescent="0.4">
      <c r="B12" s="12"/>
      <c r="C12" s="12"/>
      <c r="D12" s="12"/>
      <c r="E12" s="12"/>
    </row>
    <row r="13" spans="1:10" x14ac:dyDescent="0.35">
      <c r="A13" s="53"/>
      <c r="B13" s="79" t="s">
        <v>165</v>
      </c>
      <c r="C13" s="53"/>
      <c r="D13" s="54">
        <v>4500000</v>
      </c>
      <c r="E13" s="55"/>
      <c r="F13" s="1"/>
      <c r="H13" s="19"/>
      <c r="I13" s="18"/>
      <c r="J13" s="18"/>
    </row>
    <row r="14" spans="1:10" ht="16" x14ac:dyDescent="0.5">
      <c r="A14" s="53"/>
      <c r="B14" s="53" t="s">
        <v>132</v>
      </c>
      <c r="C14" s="53"/>
      <c r="D14" s="56">
        <v>250000</v>
      </c>
      <c r="E14" s="57"/>
      <c r="F14" s="1"/>
      <c r="H14" s="19"/>
      <c r="I14" s="18"/>
      <c r="J14" s="20"/>
    </row>
    <row r="15" spans="1:10" x14ac:dyDescent="0.35">
      <c r="A15" s="53"/>
      <c r="B15" s="53" t="s">
        <v>133</v>
      </c>
      <c r="C15" s="53"/>
      <c r="D15" s="55">
        <f>D13+D14</f>
        <v>4750000</v>
      </c>
      <c r="E15" s="5"/>
      <c r="F15" s="1"/>
      <c r="H15" s="19"/>
      <c r="I15" s="18"/>
      <c r="J15" s="18"/>
    </row>
    <row r="16" spans="1:10" x14ac:dyDescent="0.35">
      <c r="A16" s="53"/>
      <c r="B16" s="4" t="s">
        <v>10</v>
      </c>
      <c r="C16" s="4"/>
      <c r="D16" s="55">
        <v>0</v>
      </c>
      <c r="E16" s="53"/>
      <c r="F16" s="1"/>
      <c r="H16" s="19"/>
      <c r="I16" s="18"/>
      <c r="J16" s="18"/>
    </row>
    <row r="17" spans="1:10" ht="16" x14ac:dyDescent="0.5">
      <c r="A17" s="53"/>
      <c r="B17" s="4" t="s">
        <v>69</v>
      </c>
      <c r="C17" s="4"/>
      <c r="D17" s="57">
        <v>1000000</v>
      </c>
      <c r="E17" s="53"/>
      <c r="F17" s="1"/>
      <c r="H17" s="19"/>
      <c r="I17" s="28"/>
      <c r="J17" s="20"/>
    </row>
    <row r="18" spans="1:10" x14ac:dyDescent="0.35">
      <c r="A18" s="53"/>
      <c r="B18" s="53" t="s">
        <v>134</v>
      </c>
      <c r="C18" s="53"/>
      <c r="D18" s="5">
        <f>D15+D16+D17</f>
        <v>5750000</v>
      </c>
      <c r="E18" s="53"/>
      <c r="F18" s="1"/>
      <c r="H18" s="19"/>
      <c r="I18" s="28"/>
      <c r="J18" s="32"/>
    </row>
    <row r="19" spans="1:10" x14ac:dyDescent="0.35">
      <c r="A19" s="53"/>
      <c r="B19" s="53" t="s">
        <v>70</v>
      </c>
      <c r="C19" s="53"/>
      <c r="D19" s="55"/>
      <c r="E19" s="55"/>
      <c r="F19" s="1"/>
      <c r="H19" s="19"/>
      <c r="I19" s="18"/>
      <c r="J19" s="18"/>
    </row>
    <row r="20" spans="1:10" x14ac:dyDescent="0.35">
      <c r="A20" s="53" t="s">
        <v>48</v>
      </c>
      <c r="B20" s="53" t="s">
        <v>71</v>
      </c>
      <c r="C20" s="53"/>
      <c r="D20" s="55">
        <f>5%*D18</f>
        <v>287500</v>
      </c>
      <c r="E20" s="55"/>
      <c r="F20" s="1"/>
      <c r="H20" s="19"/>
      <c r="I20" s="18"/>
      <c r="J20" s="20"/>
    </row>
    <row r="21" spans="1:10" x14ac:dyDescent="0.35">
      <c r="A21" s="53" t="s">
        <v>49</v>
      </c>
      <c r="B21" s="53" t="s">
        <v>139</v>
      </c>
      <c r="C21" s="53"/>
      <c r="D21" s="56">
        <f>2%*D15</f>
        <v>95000</v>
      </c>
      <c r="E21" s="55"/>
      <c r="F21" s="1"/>
      <c r="H21" s="19"/>
      <c r="I21" s="18"/>
      <c r="J21" s="18"/>
    </row>
    <row r="22" spans="1:10" x14ac:dyDescent="0.35">
      <c r="A22" s="53"/>
      <c r="B22" s="53" t="s">
        <v>135</v>
      </c>
      <c r="C22" s="53"/>
      <c r="D22" s="55"/>
      <c r="E22" s="55">
        <f>D18-D20-D21</f>
        <v>5367500</v>
      </c>
      <c r="F22" s="1"/>
      <c r="H22" s="19"/>
      <c r="I22" s="18"/>
      <c r="J22" s="18"/>
    </row>
    <row r="23" spans="1:10" x14ac:dyDescent="0.35">
      <c r="A23" s="53"/>
      <c r="B23" s="79" t="s">
        <v>166</v>
      </c>
      <c r="C23" s="53"/>
      <c r="D23" s="53"/>
      <c r="E23" s="55">
        <f>12*E22</f>
        <v>64410000</v>
      </c>
      <c r="F23" s="1"/>
    </row>
    <row r="24" spans="1:10" ht="16" x14ac:dyDescent="0.5">
      <c r="A24" s="53"/>
      <c r="B24" s="53" t="s">
        <v>137</v>
      </c>
      <c r="C24" s="53"/>
      <c r="D24" s="55"/>
      <c r="E24" s="57">
        <v>54000000</v>
      </c>
      <c r="F24" s="1"/>
    </row>
    <row r="25" spans="1:10" x14ac:dyDescent="0.35">
      <c r="A25" s="53"/>
      <c r="B25" s="53" t="s">
        <v>140</v>
      </c>
      <c r="C25" s="53"/>
      <c r="D25" s="55"/>
      <c r="E25" s="54">
        <f>E23-E24</f>
        <v>10410000</v>
      </c>
      <c r="F25" s="1"/>
    </row>
    <row r="26" spans="1:10" x14ac:dyDescent="0.35">
      <c r="A26" s="53"/>
      <c r="B26" s="53" t="s">
        <v>138</v>
      </c>
      <c r="C26" s="53"/>
      <c r="D26" s="55"/>
      <c r="E26" s="55">
        <v>0</v>
      </c>
      <c r="F26" s="1"/>
    </row>
    <row r="27" spans="1:10" x14ac:dyDescent="0.35">
      <c r="A27" s="53"/>
      <c r="B27" s="53" t="s">
        <v>141</v>
      </c>
      <c r="C27" s="58">
        <v>0.05</v>
      </c>
      <c r="D27" s="1">
        <v>50000000</v>
      </c>
      <c r="E27" s="5">
        <v>0</v>
      </c>
      <c r="F27" s="1"/>
    </row>
    <row r="28" spans="1:10" x14ac:dyDescent="0.35">
      <c r="C28" s="58">
        <v>0.15</v>
      </c>
      <c r="D28" s="8">
        <f>E25-D27</f>
        <v>-39590000</v>
      </c>
      <c r="E28" s="59">
        <v>0</v>
      </c>
      <c r="F28" s="1"/>
    </row>
    <row r="29" spans="1:10" x14ac:dyDescent="0.35">
      <c r="D29" s="58"/>
      <c r="E29" s="5">
        <f>E27+E28</f>
        <v>0</v>
      </c>
      <c r="F29" s="1"/>
    </row>
    <row r="30" spans="1:10" x14ac:dyDescent="0.35">
      <c r="A30" t="s">
        <v>167</v>
      </c>
    </row>
    <row r="31" spans="1:10" x14ac:dyDescent="0.35">
      <c r="B31" s="66" t="s">
        <v>111</v>
      </c>
      <c r="C31" s="67"/>
      <c r="D31" s="67"/>
      <c r="E31" s="67"/>
      <c r="F31" s="68"/>
      <c r="G31" s="39"/>
    </row>
    <row r="32" spans="1:10" x14ac:dyDescent="0.35">
      <c r="B32" s="33" t="s">
        <v>112</v>
      </c>
      <c r="C32" s="34"/>
      <c r="D32" s="40"/>
      <c r="E32" s="69" t="s">
        <v>113</v>
      </c>
      <c r="F32" s="70"/>
      <c r="G32" s="39"/>
    </row>
    <row r="33" spans="2:7" x14ac:dyDescent="0.35">
      <c r="B33" s="33" t="s">
        <v>10</v>
      </c>
      <c r="C33" s="34"/>
      <c r="D33" s="40"/>
      <c r="E33" s="71" t="s">
        <v>114</v>
      </c>
      <c r="F33" s="72"/>
      <c r="G33" s="39"/>
    </row>
    <row r="34" spans="2:7" x14ac:dyDescent="0.35">
      <c r="B34" s="33" t="s">
        <v>11</v>
      </c>
      <c r="C34" s="34"/>
      <c r="D34" s="40"/>
      <c r="E34" s="69" t="s">
        <v>113</v>
      </c>
      <c r="F34" s="70"/>
      <c r="G34" s="39"/>
    </row>
    <row r="35" spans="2:7" x14ac:dyDescent="0.35">
      <c r="B35" s="33" t="s">
        <v>115</v>
      </c>
      <c r="C35" s="34"/>
      <c r="D35" s="40"/>
      <c r="E35" s="64"/>
      <c r="F35" s="65"/>
      <c r="G35" s="39"/>
    </row>
    <row r="36" spans="2:7" x14ac:dyDescent="0.35">
      <c r="B36" s="33" t="s">
        <v>116</v>
      </c>
      <c r="C36" s="34"/>
      <c r="D36" s="34" t="s">
        <v>113</v>
      </c>
      <c r="E36" s="64"/>
      <c r="F36" s="65"/>
      <c r="G36" s="39"/>
    </row>
    <row r="37" spans="2:7" x14ac:dyDescent="0.35">
      <c r="B37" s="33" t="s">
        <v>117</v>
      </c>
      <c r="C37" s="34"/>
      <c r="D37" s="35" t="s">
        <v>114</v>
      </c>
      <c r="E37" s="64"/>
      <c r="F37" s="65"/>
      <c r="G37" s="39"/>
    </row>
    <row r="38" spans="2:7" x14ac:dyDescent="0.35">
      <c r="B38" s="36"/>
      <c r="C38" s="52"/>
      <c r="D38" s="40"/>
      <c r="E38" s="71" t="s">
        <v>114</v>
      </c>
      <c r="F38" s="72"/>
      <c r="G38" s="39"/>
    </row>
    <row r="39" spans="2:7" x14ac:dyDescent="0.35">
      <c r="B39" s="33" t="s">
        <v>118</v>
      </c>
      <c r="C39" s="34"/>
      <c r="D39" s="40"/>
      <c r="E39" s="69" t="s">
        <v>113</v>
      </c>
      <c r="F39" s="70"/>
      <c r="G39" s="39"/>
    </row>
    <row r="40" spans="2:7" x14ac:dyDescent="0.35">
      <c r="B40" s="33" t="s">
        <v>119</v>
      </c>
      <c r="C40" s="34"/>
      <c r="D40" s="40"/>
      <c r="E40" s="71" t="s">
        <v>114</v>
      </c>
      <c r="F40" s="72"/>
      <c r="G40" s="39"/>
    </row>
    <row r="41" spans="2:7" x14ac:dyDescent="0.35">
      <c r="B41" s="33" t="s">
        <v>120</v>
      </c>
      <c r="C41" s="34"/>
      <c r="D41" s="40"/>
      <c r="E41" s="69" t="s">
        <v>113</v>
      </c>
      <c r="F41" s="70"/>
      <c r="G41" s="39"/>
    </row>
    <row r="42" spans="2:7" x14ac:dyDescent="0.35">
      <c r="B42" s="33" t="s">
        <v>17</v>
      </c>
      <c r="C42" s="34"/>
      <c r="D42" s="40"/>
      <c r="E42" s="69" t="s">
        <v>113</v>
      </c>
      <c r="F42" s="70"/>
      <c r="G42" s="37"/>
    </row>
    <row r="43" spans="2:7" x14ac:dyDescent="0.35">
      <c r="B43" s="64"/>
      <c r="C43" s="73"/>
      <c r="D43" s="73"/>
      <c r="E43" s="73"/>
      <c r="F43" s="73"/>
      <c r="G43" s="65"/>
    </row>
    <row r="44" spans="2:7" x14ac:dyDescent="0.35">
      <c r="B44" s="66" t="s">
        <v>121</v>
      </c>
      <c r="C44" s="67"/>
      <c r="D44" s="67"/>
      <c r="E44" s="67"/>
      <c r="F44" s="68"/>
      <c r="G44" s="39"/>
    </row>
    <row r="45" spans="2:7" x14ac:dyDescent="0.35">
      <c r="B45" s="33" t="s">
        <v>9</v>
      </c>
      <c r="C45" s="34"/>
      <c r="D45" s="40"/>
      <c r="E45" s="69" t="s">
        <v>113</v>
      </c>
      <c r="F45" s="70"/>
      <c r="G45" s="39"/>
    </row>
    <row r="46" spans="2:7" x14ac:dyDescent="0.35">
      <c r="B46" s="33" t="s">
        <v>70</v>
      </c>
      <c r="C46" s="34"/>
      <c r="D46" s="40"/>
      <c r="E46" s="64"/>
      <c r="F46" s="65"/>
      <c r="G46" s="39"/>
    </row>
    <row r="47" spans="2:7" x14ac:dyDescent="0.35">
      <c r="B47" s="33" t="s">
        <v>122</v>
      </c>
      <c r="C47" s="34"/>
      <c r="D47" s="34" t="s">
        <v>113</v>
      </c>
      <c r="E47" s="64"/>
      <c r="F47" s="65"/>
      <c r="G47" s="39"/>
    </row>
    <row r="48" spans="2:7" x14ac:dyDescent="0.35">
      <c r="B48" s="33" t="s">
        <v>117</v>
      </c>
      <c r="C48" s="34"/>
      <c r="D48" s="35" t="s">
        <v>114</v>
      </c>
      <c r="E48" s="64"/>
      <c r="F48" s="65"/>
      <c r="G48" s="39"/>
    </row>
    <row r="49" spans="2:7" x14ac:dyDescent="0.35">
      <c r="B49" s="36"/>
      <c r="C49" s="52"/>
      <c r="D49" s="40"/>
      <c r="E49" s="71" t="s">
        <v>114</v>
      </c>
      <c r="F49" s="72"/>
      <c r="G49" s="39"/>
    </row>
    <row r="50" spans="2:7" x14ac:dyDescent="0.35">
      <c r="B50" s="33" t="s">
        <v>118</v>
      </c>
      <c r="C50" s="34"/>
      <c r="D50" s="40"/>
      <c r="E50" s="69" t="s">
        <v>113</v>
      </c>
      <c r="F50" s="70"/>
      <c r="G50" s="39"/>
    </row>
    <row r="51" spans="2:7" x14ac:dyDescent="0.35">
      <c r="B51" s="33" t="s">
        <v>5</v>
      </c>
      <c r="C51" s="34"/>
      <c r="D51" s="40"/>
      <c r="E51" s="71" t="s">
        <v>114</v>
      </c>
      <c r="F51" s="72"/>
      <c r="G51" s="39"/>
    </row>
    <row r="52" spans="2:7" x14ac:dyDescent="0.35">
      <c r="B52" s="33" t="s">
        <v>72</v>
      </c>
      <c r="C52" s="34"/>
      <c r="D52" s="40"/>
      <c r="E52" s="69" t="s">
        <v>113</v>
      </c>
      <c r="F52" s="70"/>
      <c r="G52" s="39"/>
    </row>
    <row r="53" spans="2:7" x14ac:dyDescent="0.35">
      <c r="B53" s="33" t="s">
        <v>123</v>
      </c>
      <c r="C53" s="34"/>
      <c r="D53" s="38" t="s">
        <v>113</v>
      </c>
      <c r="E53" s="38" t="s">
        <v>124</v>
      </c>
      <c r="F53" s="74"/>
      <c r="G53" s="75"/>
    </row>
    <row r="54" spans="2:7" x14ac:dyDescent="0.35">
      <c r="B54" s="76"/>
      <c r="C54" s="77"/>
      <c r="D54" s="77"/>
      <c r="E54" s="77"/>
      <c r="F54" s="78"/>
      <c r="G54" s="39"/>
    </row>
    <row r="55" spans="2:7" x14ac:dyDescent="0.35">
      <c r="B55" s="66" t="s">
        <v>125</v>
      </c>
      <c r="C55" s="67"/>
      <c r="D55" s="67"/>
      <c r="E55" s="67"/>
      <c r="F55" s="68"/>
      <c r="G55" s="39"/>
    </row>
    <row r="56" spans="2:7" x14ac:dyDescent="0.35">
      <c r="B56" s="33" t="s">
        <v>126</v>
      </c>
      <c r="C56" s="34"/>
      <c r="D56" s="40"/>
      <c r="E56" s="69" t="s">
        <v>113</v>
      </c>
      <c r="F56" s="70"/>
      <c r="G56" s="39"/>
    </row>
    <row r="57" spans="2:7" x14ac:dyDescent="0.35">
      <c r="B57" s="33" t="s">
        <v>127</v>
      </c>
      <c r="C57" s="34"/>
      <c r="D57" s="40"/>
      <c r="E57" s="71" t="s">
        <v>114</v>
      </c>
      <c r="F57" s="72"/>
      <c r="G57" s="39"/>
    </row>
    <row r="58" spans="2:7" x14ac:dyDescent="0.35">
      <c r="B58" s="33" t="s">
        <v>128</v>
      </c>
      <c r="C58" s="34"/>
      <c r="D58" s="40"/>
      <c r="E58" s="69" t="s">
        <v>113</v>
      </c>
      <c r="F58" s="70"/>
      <c r="G58" s="39"/>
    </row>
  </sheetData>
  <mergeCells count="28">
    <mergeCell ref="B55:F55"/>
    <mergeCell ref="E56:F56"/>
    <mergeCell ref="E57:F57"/>
    <mergeCell ref="E58:F58"/>
    <mergeCell ref="E49:F49"/>
    <mergeCell ref="E50:F50"/>
    <mergeCell ref="E51:F51"/>
    <mergeCell ref="E52:F52"/>
    <mergeCell ref="F53:G53"/>
    <mergeCell ref="B54:F54"/>
    <mergeCell ref="E48:F48"/>
    <mergeCell ref="E37:F37"/>
    <mergeCell ref="E38:F38"/>
    <mergeCell ref="E39:F39"/>
    <mergeCell ref="E40:F40"/>
    <mergeCell ref="E41:F41"/>
    <mergeCell ref="E42:F42"/>
    <mergeCell ref="B43:G43"/>
    <mergeCell ref="B44:F44"/>
    <mergeCell ref="E45:F45"/>
    <mergeCell ref="E46:F46"/>
    <mergeCell ref="E47:F47"/>
    <mergeCell ref="E36:F36"/>
    <mergeCell ref="B31:F31"/>
    <mergeCell ref="E32:F32"/>
    <mergeCell ref="E33:F33"/>
    <mergeCell ref="E34:F34"/>
    <mergeCell ref="E35:F35"/>
  </mergeCells>
  <pageMargins left="0.7" right="0.7" top="0.75" bottom="0.75" header="0.3" footer="0.3"/>
  <pageSetup orientation="portrait" horizontalDpi="4294967293"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153A-560D-4FF9-9BDF-05C78B4F4FAC}">
  <sheetPr>
    <tabColor rgb="FF92D050"/>
  </sheetPr>
  <dimension ref="A2:J82"/>
  <sheetViews>
    <sheetView topLeftCell="A42" zoomScale="90" zoomScaleNormal="90" workbookViewId="0">
      <selection activeCell="B68" sqref="B68:F68"/>
    </sheetView>
  </sheetViews>
  <sheetFormatPr defaultRowHeight="14.5" x14ac:dyDescent="0.35"/>
  <cols>
    <col min="2" max="2" width="44.36328125" bestFit="1" customWidth="1"/>
    <col min="3" max="3" width="6.36328125" customWidth="1"/>
    <col min="4" max="4" width="23.54296875" customWidth="1"/>
    <col min="5" max="5" width="22.81640625" customWidth="1"/>
  </cols>
  <sheetData>
    <row r="2" spans="1:10" x14ac:dyDescent="0.35">
      <c r="A2" s="4" t="s">
        <v>154</v>
      </c>
      <c r="B2" s="4"/>
      <c r="C2" s="4"/>
    </row>
    <row r="3" spans="1:10" x14ac:dyDescent="0.35">
      <c r="A3" s="4"/>
      <c r="B3" s="4" t="s">
        <v>155</v>
      </c>
      <c r="C3" s="4"/>
    </row>
    <row r="4" spans="1:10" ht="17" x14ac:dyDescent="0.4">
      <c r="B4" t="s">
        <v>129</v>
      </c>
      <c r="D4" s="12" t="s">
        <v>137</v>
      </c>
    </row>
    <row r="5" spans="1:10" x14ac:dyDescent="0.35">
      <c r="B5" s="80" t="s">
        <v>151</v>
      </c>
      <c r="C5" s="41"/>
    </row>
    <row r="6" spans="1:10" x14ac:dyDescent="0.35">
      <c r="B6" s="41" t="s">
        <v>150</v>
      </c>
      <c r="C6" s="41"/>
    </row>
    <row r="7" spans="1:10" x14ac:dyDescent="0.35">
      <c r="B7" t="s">
        <v>130</v>
      </c>
      <c r="E7" s="16"/>
      <c r="F7" s="16"/>
      <c r="G7" s="16"/>
      <c r="H7" s="16"/>
    </row>
    <row r="8" spans="1:10" x14ac:dyDescent="0.35">
      <c r="B8" s="16" t="s">
        <v>131</v>
      </c>
      <c r="C8" s="16"/>
      <c r="E8" s="16"/>
      <c r="F8" s="16"/>
      <c r="G8" s="16"/>
      <c r="H8" s="16"/>
    </row>
    <row r="9" spans="1:10" x14ac:dyDescent="0.35">
      <c r="B9" t="s">
        <v>153</v>
      </c>
    </row>
    <row r="11" spans="1:10" ht="17" x14ac:dyDescent="0.4">
      <c r="A11" s="11" t="s">
        <v>68</v>
      </c>
      <c r="D11" s="12"/>
      <c r="E11" s="12"/>
    </row>
    <row r="12" spans="1:10" ht="17" x14ac:dyDescent="0.4">
      <c r="B12" s="12"/>
      <c r="C12" s="12"/>
      <c r="D12" s="12"/>
      <c r="E12" s="12"/>
    </row>
    <row r="13" spans="1:10" x14ac:dyDescent="0.35">
      <c r="A13" s="53"/>
      <c r="B13" s="53" t="s">
        <v>152</v>
      </c>
      <c r="C13" s="53"/>
      <c r="D13" s="54">
        <v>6500000</v>
      </c>
      <c r="E13" s="55"/>
      <c r="F13" s="1"/>
      <c r="H13" s="19"/>
      <c r="I13" s="18"/>
      <c r="J13" s="18"/>
    </row>
    <row r="14" spans="1:10" ht="16" x14ac:dyDescent="0.5">
      <c r="A14" s="53"/>
      <c r="B14" s="53" t="s">
        <v>132</v>
      </c>
      <c r="C14" s="53"/>
      <c r="D14" s="56">
        <v>250000</v>
      </c>
      <c r="E14" s="57"/>
      <c r="F14" s="1"/>
      <c r="H14" s="19"/>
      <c r="I14" s="18"/>
      <c r="J14" s="20"/>
    </row>
    <row r="15" spans="1:10" x14ac:dyDescent="0.35">
      <c r="A15" s="53"/>
      <c r="B15" s="53" t="s">
        <v>133</v>
      </c>
      <c r="C15" s="53"/>
      <c r="D15" s="55">
        <f>D13+D14</f>
        <v>6750000</v>
      </c>
      <c r="E15" s="5"/>
      <c r="F15" s="1"/>
      <c r="H15" s="19"/>
      <c r="I15" s="18"/>
      <c r="J15" s="18"/>
    </row>
    <row r="16" spans="1:10" x14ac:dyDescent="0.35">
      <c r="A16" s="53"/>
      <c r="B16" s="4" t="s">
        <v>10</v>
      </c>
      <c r="C16" s="4"/>
      <c r="D16" s="55">
        <v>0</v>
      </c>
      <c r="E16" s="53"/>
      <c r="F16" s="1"/>
      <c r="H16" s="19"/>
      <c r="I16" s="18"/>
      <c r="J16" s="18"/>
    </row>
    <row r="17" spans="1:10" ht="16" x14ac:dyDescent="0.5">
      <c r="A17" s="53"/>
      <c r="B17" s="4" t="s">
        <v>69</v>
      </c>
      <c r="C17" s="4"/>
      <c r="D17" s="57">
        <v>6500000</v>
      </c>
      <c r="E17" s="53"/>
      <c r="F17" s="1"/>
      <c r="H17" s="19"/>
      <c r="I17" s="28"/>
      <c r="J17" s="20"/>
    </row>
    <row r="18" spans="1:10" x14ac:dyDescent="0.35">
      <c r="A18" s="53"/>
      <c r="B18" s="53" t="s">
        <v>134</v>
      </c>
      <c r="C18" s="53"/>
      <c r="D18" s="5">
        <f>D15+D16+D17</f>
        <v>13250000</v>
      </c>
      <c r="E18" s="53"/>
      <c r="F18" s="1"/>
      <c r="H18" s="19"/>
      <c r="I18" s="28"/>
      <c r="J18" s="32"/>
    </row>
    <row r="19" spans="1:10" x14ac:dyDescent="0.35">
      <c r="A19" s="53"/>
      <c r="B19" s="53" t="s">
        <v>70</v>
      </c>
      <c r="C19" s="53"/>
      <c r="D19" s="55"/>
      <c r="E19" s="55"/>
      <c r="F19" s="1"/>
      <c r="H19" s="19"/>
      <c r="I19" s="18"/>
      <c r="J19" s="18"/>
    </row>
    <row r="20" spans="1:10" x14ac:dyDescent="0.35">
      <c r="A20" s="53" t="s">
        <v>48</v>
      </c>
      <c r="B20" s="53" t="s">
        <v>71</v>
      </c>
      <c r="C20" s="53"/>
      <c r="D20" s="55">
        <v>500000</v>
      </c>
      <c r="E20" s="55"/>
      <c r="F20" s="1"/>
      <c r="H20" s="19"/>
      <c r="I20" s="18"/>
      <c r="J20" s="20"/>
    </row>
    <row r="21" spans="1:10" x14ac:dyDescent="0.35">
      <c r="A21" s="53" t="s">
        <v>49</v>
      </c>
      <c r="B21" s="53" t="s">
        <v>139</v>
      </c>
      <c r="C21" s="53"/>
      <c r="D21" s="56">
        <f>2%*D15</f>
        <v>135000</v>
      </c>
      <c r="E21" s="55"/>
      <c r="F21" s="1"/>
      <c r="H21" s="19"/>
      <c r="I21" s="18"/>
      <c r="J21" s="18"/>
    </row>
    <row r="22" spans="1:10" x14ac:dyDescent="0.35">
      <c r="A22" s="53"/>
      <c r="B22" s="53" t="s">
        <v>135</v>
      </c>
      <c r="C22" s="53"/>
      <c r="D22" s="55"/>
      <c r="E22" s="55">
        <f>D18-D20-D21</f>
        <v>12615000</v>
      </c>
      <c r="F22" s="1"/>
      <c r="H22" s="19"/>
      <c r="I22" s="18"/>
      <c r="J22" s="18"/>
    </row>
    <row r="23" spans="1:10" x14ac:dyDescent="0.35">
      <c r="A23" s="53"/>
      <c r="B23" s="79" t="s">
        <v>166</v>
      </c>
      <c r="C23" s="53"/>
      <c r="D23" s="53"/>
      <c r="E23" s="55">
        <f>12*E22</f>
        <v>151380000</v>
      </c>
      <c r="F23" s="1"/>
    </row>
    <row r="24" spans="1:10" ht="16" x14ac:dyDescent="0.5">
      <c r="A24" s="53"/>
      <c r="B24" s="53" t="s">
        <v>137</v>
      </c>
      <c r="C24" s="53"/>
      <c r="D24" s="55"/>
      <c r="E24" s="57">
        <v>54000000</v>
      </c>
      <c r="F24" s="1"/>
    </row>
    <row r="25" spans="1:10" x14ac:dyDescent="0.35">
      <c r="A25" s="53"/>
      <c r="B25" s="53" t="s">
        <v>140</v>
      </c>
      <c r="C25" s="53"/>
      <c r="D25" s="55"/>
      <c r="E25" s="54">
        <f>E23-E24</f>
        <v>97380000</v>
      </c>
      <c r="F25" s="1"/>
    </row>
    <row r="26" spans="1:10" x14ac:dyDescent="0.35">
      <c r="A26" s="53"/>
      <c r="B26" s="53" t="s">
        <v>138</v>
      </c>
      <c r="C26" s="53"/>
      <c r="D26" s="55"/>
      <c r="E26" s="55">
        <v>0</v>
      </c>
      <c r="F26" s="1"/>
    </row>
    <row r="27" spans="1:10" x14ac:dyDescent="0.35">
      <c r="A27" s="53"/>
      <c r="B27" s="53" t="s">
        <v>141</v>
      </c>
      <c r="C27" s="58">
        <v>0.05</v>
      </c>
      <c r="D27" s="1">
        <v>50000000</v>
      </c>
      <c r="E27" s="5">
        <f>C27*D27</f>
        <v>2500000</v>
      </c>
      <c r="F27" s="1"/>
    </row>
    <row r="28" spans="1:10" x14ac:dyDescent="0.35">
      <c r="C28" s="58">
        <v>0.15</v>
      </c>
      <c r="D28" s="8">
        <f>E25-D27</f>
        <v>47380000</v>
      </c>
      <c r="E28" s="59">
        <f>C28*D28</f>
        <v>7107000</v>
      </c>
      <c r="F28" s="1"/>
    </row>
    <row r="29" spans="1:10" ht="17" x14ac:dyDescent="0.4">
      <c r="B29" s="12" t="s">
        <v>75</v>
      </c>
      <c r="D29" s="58"/>
      <c r="E29" s="5">
        <f>E27+E28</f>
        <v>9607000</v>
      </c>
      <c r="F29" s="1"/>
    </row>
    <row r="30" spans="1:10" ht="17" x14ac:dyDescent="0.4">
      <c r="A30" s="11" t="s">
        <v>73</v>
      </c>
      <c r="D30" s="1"/>
      <c r="E30" s="1"/>
      <c r="F30" s="1"/>
    </row>
    <row r="31" spans="1:10" ht="17" x14ac:dyDescent="0.4">
      <c r="B31" s="12" t="s">
        <v>152</v>
      </c>
      <c r="C31" s="12"/>
      <c r="D31" s="15">
        <v>6500000</v>
      </c>
      <c r="E31" s="13"/>
      <c r="F31" s="1"/>
    </row>
    <row r="32" spans="1:10" ht="20" x14ac:dyDescent="0.7">
      <c r="B32" s="12" t="s">
        <v>132</v>
      </c>
      <c r="C32" s="12"/>
      <c r="D32" s="25">
        <v>250000</v>
      </c>
      <c r="E32" s="42"/>
      <c r="F32" s="1"/>
    </row>
    <row r="33" spans="2:6" ht="17" x14ac:dyDescent="0.4">
      <c r="B33" s="12" t="s">
        <v>133</v>
      </c>
      <c r="C33" s="12"/>
      <c r="D33" s="13">
        <f>D31+D32</f>
        <v>6750000</v>
      </c>
      <c r="E33" s="14"/>
      <c r="F33" s="1"/>
    </row>
    <row r="34" spans="2:6" ht="17" x14ac:dyDescent="0.4">
      <c r="B34" s="11" t="s">
        <v>10</v>
      </c>
      <c r="C34" s="11"/>
      <c r="D34" s="13">
        <v>0</v>
      </c>
      <c r="F34" s="1"/>
    </row>
    <row r="35" spans="2:6" ht="20" x14ac:dyDescent="0.7">
      <c r="B35" s="11" t="s">
        <v>69</v>
      </c>
      <c r="C35" s="11"/>
      <c r="D35" s="42">
        <v>0</v>
      </c>
      <c r="F35" s="1"/>
    </row>
    <row r="36" spans="2:6" ht="17" x14ac:dyDescent="0.4">
      <c r="B36" s="12" t="s">
        <v>133</v>
      </c>
      <c r="C36" s="12"/>
      <c r="D36" s="14">
        <f>D33+D34+D35</f>
        <v>6750000</v>
      </c>
      <c r="F36" s="1"/>
    </row>
    <row r="37" spans="2:6" ht="17" x14ac:dyDescent="0.4">
      <c r="B37" s="12" t="s">
        <v>70</v>
      </c>
      <c r="C37" s="12"/>
      <c r="D37" s="13"/>
      <c r="E37" s="13"/>
      <c r="F37" s="1"/>
    </row>
    <row r="38" spans="2:6" ht="17" x14ac:dyDescent="0.4">
      <c r="B38" s="12" t="s">
        <v>71</v>
      </c>
      <c r="C38" s="12"/>
      <c r="D38" s="13">
        <f>5%*D36</f>
        <v>337500</v>
      </c>
      <c r="E38" s="13"/>
    </row>
    <row r="39" spans="2:6" ht="17" x14ac:dyDescent="0.4">
      <c r="B39" s="12" t="s">
        <v>136</v>
      </c>
      <c r="C39" s="12"/>
      <c r="D39" s="25">
        <f>2%*D33</f>
        <v>135000</v>
      </c>
      <c r="E39" s="13"/>
    </row>
    <row r="40" spans="2:6" ht="17" x14ac:dyDescent="0.4">
      <c r="B40" s="12" t="s">
        <v>79</v>
      </c>
      <c r="C40" s="12"/>
      <c r="D40" s="13"/>
      <c r="E40" s="13">
        <f>D36-D38-D39</f>
        <v>6277500</v>
      </c>
    </row>
    <row r="41" spans="2:6" ht="17" x14ac:dyDescent="0.4">
      <c r="B41" s="12" t="s">
        <v>168</v>
      </c>
      <c r="C41" s="12"/>
      <c r="E41" s="13">
        <f>12*E40</f>
        <v>75330000</v>
      </c>
    </row>
    <row r="42" spans="2:6" ht="20" x14ac:dyDescent="0.7">
      <c r="B42" s="12" t="s">
        <v>137</v>
      </c>
      <c r="C42" s="12"/>
      <c r="D42" s="13"/>
      <c r="E42" s="42">
        <v>54000000</v>
      </c>
    </row>
    <row r="43" spans="2:6" ht="17" x14ac:dyDescent="0.4">
      <c r="B43" s="12" t="s">
        <v>72</v>
      </c>
      <c r="C43" s="12"/>
      <c r="D43" s="13"/>
      <c r="E43" s="15">
        <f>E41-E42</f>
        <v>21330000</v>
      </c>
    </row>
    <row r="44" spans="2:6" ht="17" x14ac:dyDescent="0.4">
      <c r="B44" s="12" t="s">
        <v>76</v>
      </c>
      <c r="C44" s="12"/>
      <c r="D44" s="13"/>
      <c r="E44" s="13">
        <v>0</v>
      </c>
    </row>
    <row r="45" spans="2:6" x14ac:dyDescent="0.35">
      <c r="B45" s="53" t="s">
        <v>141</v>
      </c>
      <c r="C45" s="58">
        <v>0.05</v>
      </c>
      <c r="D45" s="8">
        <f>E43</f>
        <v>21330000</v>
      </c>
      <c r="E45" s="5">
        <f>C45*D45</f>
        <v>1066500</v>
      </c>
    </row>
    <row r="46" spans="2:6" ht="17" x14ac:dyDescent="0.4">
      <c r="B46" s="12" t="s">
        <v>73</v>
      </c>
      <c r="C46" s="2"/>
      <c r="E46" s="8">
        <f>E45</f>
        <v>1066500</v>
      </c>
    </row>
    <row r="47" spans="2:6" ht="17" x14ac:dyDescent="0.4">
      <c r="B47" s="12"/>
      <c r="C47" s="2"/>
    </row>
    <row r="48" spans="2:6" x14ac:dyDescent="0.35">
      <c r="D48" s="27" t="s">
        <v>156</v>
      </c>
      <c r="E48" s="27" t="s">
        <v>157</v>
      </c>
    </row>
    <row r="49" spans="2:7" ht="17" x14ac:dyDescent="0.4">
      <c r="B49" s="12" t="s">
        <v>74</v>
      </c>
      <c r="C49" s="12"/>
    </row>
    <row r="50" spans="2:7" ht="17" x14ac:dyDescent="0.4">
      <c r="B50" s="12" t="s">
        <v>75</v>
      </c>
      <c r="C50" s="12"/>
      <c r="D50" s="8">
        <f>E29</f>
        <v>9607000</v>
      </c>
      <c r="E50" s="8">
        <f>D50/12</f>
        <v>800583.33333333337</v>
      </c>
    </row>
    <row r="51" spans="2:7" ht="17" x14ac:dyDescent="0.4">
      <c r="B51" s="12" t="s">
        <v>73</v>
      </c>
      <c r="C51" s="12"/>
      <c r="D51" s="8">
        <f>E45</f>
        <v>1066500</v>
      </c>
      <c r="E51" s="8">
        <f>D51/12</f>
        <v>88875</v>
      </c>
    </row>
    <row r="52" spans="2:7" ht="17" x14ac:dyDescent="0.4">
      <c r="B52" s="11" t="s">
        <v>169</v>
      </c>
      <c r="C52" s="12"/>
      <c r="D52" s="10"/>
      <c r="E52" s="8">
        <f>E50-E51</f>
        <v>711708.33333333337</v>
      </c>
    </row>
    <row r="55" spans="2:7" x14ac:dyDescent="0.35">
      <c r="B55" s="66" t="s">
        <v>111</v>
      </c>
      <c r="C55" s="67"/>
      <c r="D55" s="67"/>
      <c r="E55" s="67"/>
      <c r="F55" s="68"/>
      <c r="G55" s="60"/>
    </row>
    <row r="56" spans="2:7" x14ac:dyDescent="0.35">
      <c r="B56" s="33" t="s">
        <v>112</v>
      </c>
      <c r="C56" s="34"/>
      <c r="D56" s="61"/>
      <c r="E56" s="69" t="s">
        <v>113</v>
      </c>
      <c r="F56" s="70"/>
      <c r="G56" s="60"/>
    </row>
    <row r="57" spans="2:7" x14ac:dyDescent="0.35">
      <c r="B57" s="33" t="s">
        <v>10</v>
      </c>
      <c r="C57" s="34"/>
      <c r="D57" s="61"/>
      <c r="E57" s="71" t="s">
        <v>114</v>
      </c>
      <c r="F57" s="72"/>
      <c r="G57" s="60"/>
    </row>
    <row r="58" spans="2:7" x14ac:dyDescent="0.35">
      <c r="B58" s="33" t="s">
        <v>11</v>
      </c>
      <c r="C58" s="34"/>
      <c r="D58" s="61"/>
      <c r="E58" s="69" t="s">
        <v>113</v>
      </c>
      <c r="F58" s="70"/>
      <c r="G58" s="60"/>
    </row>
    <row r="59" spans="2:7" x14ac:dyDescent="0.35">
      <c r="B59" s="33" t="s">
        <v>115</v>
      </c>
      <c r="C59" s="34"/>
      <c r="D59" s="61"/>
      <c r="E59" s="64"/>
      <c r="F59" s="65"/>
      <c r="G59" s="60"/>
    </row>
    <row r="60" spans="2:7" x14ac:dyDescent="0.35">
      <c r="B60" s="33" t="s">
        <v>116</v>
      </c>
      <c r="C60" s="34"/>
      <c r="D60" s="34" t="s">
        <v>113</v>
      </c>
      <c r="E60" s="64"/>
      <c r="F60" s="65"/>
      <c r="G60" s="60"/>
    </row>
    <row r="61" spans="2:7" x14ac:dyDescent="0.35">
      <c r="B61" s="33" t="s">
        <v>117</v>
      </c>
      <c r="C61" s="34"/>
      <c r="D61" s="35" t="s">
        <v>114</v>
      </c>
      <c r="E61" s="64"/>
      <c r="F61" s="65"/>
      <c r="G61" s="60"/>
    </row>
    <row r="62" spans="2:7" x14ac:dyDescent="0.35">
      <c r="B62" s="36"/>
      <c r="C62" s="61"/>
      <c r="D62" s="61"/>
      <c r="E62" s="71" t="s">
        <v>114</v>
      </c>
      <c r="F62" s="72"/>
      <c r="G62" s="60"/>
    </row>
    <row r="63" spans="2:7" x14ac:dyDescent="0.35">
      <c r="B63" s="33" t="s">
        <v>118</v>
      </c>
      <c r="C63" s="34"/>
      <c r="D63" s="61"/>
      <c r="E63" s="69" t="s">
        <v>113</v>
      </c>
      <c r="F63" s="70"/>
      <c r="G63" s="60"/>
    </row>
    <row r="64" spans="2:7" x14ac:dyDescent="0.35">
      <c r="B64" s="33" t="s">
        <v>119</v>
      </c>
      <c r="C64" s="34"/>
      <c r="D64" s="61"/>
      <c r="E64" s="71" t="s">
        <v>114</v>
      </c>
      <c r="F64" s="72"/>
      <c r="G64" s="60"/>
    </row>
    <row r="65" spans="2:7" x14ac:dyDescent="0.35">
      <c r="B65" s="33" t="s">
        <v>120</v>
      </c>
      <c r="C65" s="34"/>
      <c r="D65" s="61"/>
      <c r="E65" s="69" t="s">
        <v>113</v>
      </c>
      <c r="F65" s="70"/>
      <c r="G65" s="60"/>
    </row>
    <row r="66" spans="2:7" x14ac:dyDescent="0.35">
      <c r="B66" s="33" t="s">
        <v>17</v>
      </c>
      <c r="C66" s="34"/>
      <c r="D66" s="61"/>
      <c r="E66" s="69" t="s">
        <v>113</v>
      </c>
      <c r="F66" s="70"/>
      <c r="G66" s="37"/>
    </row>
    <row r="67" spans="2:7" x14ac:dyDescent="0.35">
      <c r="B67" s="64"/>
      <c r="C67" s="73"/>
      <c r="D67" s="73"/>
      <c r="E67" s="73"/>
      <c r="F67" s="73"/>
      <c r="G67" s="65"/>
    </row>
    <row r="68" spans="2:7" x14ac:dyDescent="0.35">
      <c r="B68" s="66" t="s">
        <v>121</v>
      </c>
      <c r="C68" s="67"/>
      <c r="D68" s="67"/>
      <c r="E68" s="67"/>
      <c r="F68" s="68"/>
      <c r="G68" s="60"/>
    </row>
    <row r="69" spans="2:7" x14ac:dyDescent="0.35">
      <c r="B69" s="33" t="s">
        <v>9</v>
      </c>
      <c r="C69" s="34"/>
      <c r="D69" s="61"/>
      <c r="E69" s="69" t="s">
        <v>113</v>
      </c>
      <c r="F69" s="70"/>
      <c r="G69" s="60"/>
    </row>
    <row r="70" spans="2:7" x14ac:dyDescent="0.35">
      <c r="B70" s="33" t="s">
        <v>70</v>
      </c>
      <c r="C70" s="34"/>
      <c r="D70" s="61"/>
      <c r="E70" s="64"/>
      <c r="F70" s="65"/>
      <c r="G70" s="60"/>
    </row>
    <row r="71" spans="2:7" x14ac:dyDescent="0.35">
      <c r="B71" s="33" t="s">
        <v>122</v>
      </c>
      <c r="C71" s="34"/>
      <c r="D71" s="34" t="s">
        <v>113</v>
      </c>
      <c r="E71" s="64"/>
      <c r="F71" s="65"/>
      <c r="G71" s="60"/>
    </row>
    <row r="72" spans="2:7" x14ac:dyDescent="0.35">
      <c r="B72" s="33" t="s">
        <v>117</v>
      </c>
      <c r="C72" s="34"/>
      <c r="D72" s="35" t="s">
        <v>114</v>
      </c>
      <c r="E72" s="64"/>
      <c r="F72" s="65"/>
      <c r="G72" s="60"/>
    </row>
    <row r="73" spans="2:7" x14ac:dyDescent="0.35">
      <c r="B73" s="36"/>
      <c r="C73" s="61"/>
      <c r="D73" s="61"/>
      <c r="E73" s="71" t="s">
        <v>114</v>
      </c>
      <c r="F73" s="72"/>
      <c r="G73" s="60"/>
    </row>
    <row r="74" spans="2:7" x14ac:dyDescent="0.35">
      <c r="B74" s="33" t="s">
        <v>118</v>
      </c>
      <c r="C74" s="34"/>
      <c r="D74" s="61"/>
      <c r="E74" s="69" t="s">
        <v>113</v>
      </c>
      <c r="F74" s="70"/>
      <c r="G74" s="60"/>
    </row>
    <row r="75" spans="2:7" x14ac:dyDescent="0.35">
      <c r="B75" s="33" t="s">
        <v>5</v>
      </c>
      <c r="C75" s="34"/>
      <c r="D75" s="61"/>
      <c r="E75" s="71" t="s">
        <v>114</v>
      </c>
      <c r="F75" s="72"/>
      <c r="G75" s="60"/>
    </row>
    <row r="76" spans="2:7" x14ac:dyDescent="0.35">
      <c r="B76" s="33" t="s">
        <v>72</v>
      </c>
      <c r="C76" s="34"/>
      <c r="D76" s="61"/>
      <c r="E76" s="69" t="s">
        <v>113</v>
      </c>
      <c r="F76" s="70"/>
      <c r="G76" s="60"/>
    </row>
    <row r="77" spans="2:7" x14ac:dyDescent="0.35">
      <c r="B77" s="33" t="s">
        <v>123</v>
      </c>
      <c r="C77" s="34"/>
      <c r="D77" s="38" t="s">
        <v>113</v>
      </c>
      <c r="E77" s="38" t="s">
        <v>124</v>
      </c>
      <c r="F77" s="74"/>
      <c r="G77" s="75"/>
    </row>
    <row r="78" spans="2:7" x14ac:dyDescent="0.35">
      <c r="B78" s="76"/>
      <c r="C78" s="77"/>
      <c r="D78" s="77"/>
      <c r="E78" s="77"/>
      <c r="F78" s="78"/>
      <c r="G78" s="60"/>
    </row>
    <row r="79" spans="2:7" x14ac:dyDescent="0.35">
      <c r="B79" s="66" t="s">
        <v>125</v>
      </c>
      <c r="C79" s="67"/>
      <c r="D79" s="67"/>
      <c r="E79" s="67"/>
      <c r="F79" s="68"/>
      <c r="G79" s="60"/>
    </row>
    <row r="80" spans="2:7" x14ac:dyDescent="0.35">
      <c r="B80" s="33" t="s">
        <v>126</v>
      </c>
      <c r="C80" s="34"/>
      <c r="D80" s="61"/>
      <c r="E80" s="69" t="s">
        <v>113</v>
      </c>
      <c r="F80" s="70"/>
      <c r="G80" s="60"/>
    </row>
    <row r="81" spans="2:7" x14ac:dyDescent="0.35">
      <c r="B81" s="33" t="s">
        <v>127</v>
      </c>
      <c r="C81" s="34"/>
      <c r="D81" s="61"/>
      <c r="E81" s="71" t="s">
        <v>114</v>
      </c>
      <c r="F81" s="72"/>
      <c r="G81" s="60"/>
    </row>
    <row r="82" spans="2:7" x14ac:dyDescent="0.35">
      <c r="B82" s="33" t="s">
        <v>128</v>
      </c>
      <c r="C82" s="34"/>
      <c r="D82" s="61"/>
      <c r="E82" s="69" t="s">
        <v>113</v>
      </c>
      <c r="F82" s="70"/>
      <c r="G82" s="60"/>
    </row>
  </sheetData>
  <mergeCells count="28">
    <mergeCell ref="B79:F79"/>
    <mergeCell ref="E80:F80"/>
    <mergeCell ref="E81:F81"/>
    <mergeCell ref="E82:F82"/>
    <mergeCell ref="E73:F73"/>
    <mergeCell ref="E74:F74"/>
    <mergeCell ref="E75:F75"/>
    <mergeCell ref="E76:F76"/>
    <mergeCell ref="F77:G77"/>
    <mergeCell ref="B78:F78"/>
    <mergeCell ref="B67:G67"/>
    <mergeCell ref="B68:F68"/>
    <mergeCell ref="E69:F69"/>
    <mergeCell ref="E70:F70"/>
    <mergeCell ref="E71:F71"/>
    <mergeCell ref="E72:F72"/>
    <mergeCell ref="E61:F61"/>
    <mergeCell ref="E62:F62"/>
    <mergeCell ref="E63:F63"/>
    <mergeCell ref="E64:F64"/>
    <mergeCell ref="E65:F65"/>
    <mergeCell ref="E66:F66"/>
    <mergeCell ref="B55:F55"/>
    <mergeCell ref="E56:F56"/>
    <mergeCell ref="E57:F57"/>
    <mergeCell ref="E58:F58"/>
    <mergeCell ref="E59:F59"/>
    <mergeCell ref="E60:F60"/>
  </mergeCells>
  <pageMargins left="0.7" right="0.7" top="0.75" bottom="0.75" header="0.3" footer="0.3"/>
  <pageSetup orientation="portrait" horizontalDpi="4294967293"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C2:M22"/>
  <sheetViews>
    <sheetView zoomScale="56" workbookViewId="0">
      <selection activeCell="E10" sqref="E10"/>
    </sheetView>
  </sheetViews>
  <sheetFormatPr defaultColWidth="8.90625" defaultRowHeight="23.5" x14ac:dyDescent="0.55000000000000004"/>
  <cols>
    <col min="1" max="4" width="8.90625" style="43"/>
    <col min="5" max="5" width="22.90625" style="44" bestFit="1" customWidth="1"/>
    <col min="6" max="6" width="19.08984375" style="44" bestFit="1" customWidth="1"/>
    <col min="7" max="7" width="0" style="44" hidden="1" customWidth="1"/>
    <col min="8" max="8" width="8.90625" style="44"/>
    <col min="9" max="9" width="20.81640625" style="44" bestFit="1" customWidth="1"/>
    <col min="10" max="10" width="8.90625" style="44"/>
    <col min="11" max="11" width="18.81640625" style="43" bestFit="1" customWidth="1"/>
    <col min="12" max="16384" width="8.90625" style="43"/>
  </cols>
  <sheetData>
    <row r="2" spans="3:9" x14ac:dyDescent="0.55000000000000004">
      <c r="C2" s="50" t="s">
        <v>142</v>
      </c>
    </row>
    <row r="3" spans="3:9" x14ac:dyDescent="0.55000000000000004">
      <c r="D3" s="43" t="s">
        <v>143</v>
      </c>
    </row>
    <row r="5" spans="3:9" x14ac:dyDescent="0.55000000000000004">
      <c r="D5" s="50" t="s">
        <v>159</v>
      </c>
    </row>
    <row r="6" spans="3:9" x14ac:dyDescent="0.55000000000000004">
      <c r="D6" s="43" t="s">
        <v>158</v>
      </c>
    </row>
    <row r="7" spans="3:9" x14ac:dyDescent="0.55000000000000004">
      <c r="D7" s="43" t="s">
        <v>146</v>
      </c>
    </row>
    <row r="9" spans="3:9" x14ac:dyDescent="0.55000000000000004">
      <c r="D9" s="43" t="s">
        <v>144</v>
      </c>
      <c r="E9" s="44" t="s">
        <v>160</v>
      </c>
      <c r="F9" s="44" t="s">
        <v>50</v>
      </c>
      <c r="G9" s="44" t="s">
        <v>6</v>
      </c>
      <c r="H9" s="44" t="s">
        <v>145</v>
      </c>
      <c r="I9" s="44" t="s">
        <v>51</v>
      </c>
    </row>
    <row r="10" spans="3:9" x14ac:dyDescent="0.55000000000000004">
      <c r="D10" s="43">
        <v>1</v>
      </c>
      <c r="E10" s="44">
        <v>100000000</v>
      </c>
      <c r="F10" s="45">
        <f>50%*E10</f>
        <v>50000000</v>
      </c>
      <c r="H10" s="46">
        <v>0.05</v>
      </c>
      <c r="I10" s="44">
        <f>F10*H10</f>
        <v>2500000</v>
      </c>
    </row>
    <row r="11" spans="3:9" x14ac:dyDescent="0.55000000000000004">
      <c r="D11" s="43">
        <v>2</v>
      </c>
      <c r="E11" s="44">
        <v>100000000</v>
      </c>
      <c r="F11" s="47">
        <f t="shared" ref="F11:F21" si="0">50%*E11</f>
        <v>50000000</v>
      </c>
      <c r="H11" s="46">
        <v>0.15</v>
      </c>
      <c r="I11" s="44">
        <f t="shared" ref="I11" si="1">F11*H11</f>
        <v>7500000</v>
      </c>
    </row>
    <row r="12" spans="3:9" x14ac:dyDescent="0.55000000000000004">
      <c r="D12" s="43">
        <v>3</v>
      </c>
      <c r="E12" s="44">
        <v>100000000</v>
      </c>
      <c r="F12" s="47">
        <f t="shared" si="0"/>
        <v>50000000</v>
      </c>
      <c r="H12" s="46">
        <v>0.15</v>
      </c>
      <c r="I12" s="44">
        <f t="shared" ref="I12:I14" si="2">F12*H12</f>
        <v>7500000</v>
      </c>
    </row>
    <row r="13" spans="3:9" x14ac:dyDescent="0.55000000000000004">
      <c r="D13" s="43">
        <v>4</v>
      </c>
      <c r="E13" s="44">
        <v>100000000</v>
      </c>
      <c r="F13" s="47">
        <f t="shared" si="0"/>
        <v>50000000</v>
      </c>
      <c r="H13" s="46">
        <v>0.15</v>
      </c>
      <c r="I13" s="44">
        <f t="shared" si="2"/>
        <v>7500000</v>
      </c>
    </row>
    <row r="14" spans="3:9" x14ac:dyDescent="0.55000000000000004">
      <c r="D14" s="43">
        <v>5</v>
      </c>
      <c r="E14" s="44">
        <v>100000000</v>
      </c>
      <c r="F14" s="47">
        <f t="shared" si="0"/>
        <v>50000000</v>
      </c>
      <c r="H14" s="46">
        <v>0.15</v>
      </c>
      <c r="I14" s="44">
        <f t="shared" si="2"/>
        <v>7500000</v>
      </c>
    </row>
    <row r="15" spans="3:9" x14ac:dyDescent="0.55000000000000004">
      <c r="D15" s="43">
        <v>6</v>
      </c>
      <c r="E15" s="44">
        <v>100000000</v>
      </c>
      <c r="F15" s="48">
        <f t="shared" si="0"/>
        <v>50000000</v>
      </c>
      <c r="H15" s="46">
        <v>0.25</v>
      </c>
      <c r="I15" s="44">
        <f>F15*H15</f>
        <v>12500000</v>
      </c>
    </row>
    <row r="16" spans="3:9" x14ac:dyDescent="0.55000000000000004">
      <c r="D16" s="43">
        <v>7</v>
      </c>
      <c r="E16" s="44">
        <v>100000000</v>
      </c>
      <c r="F16" s="48">
        <f t="shared" si="0"/>
        <v>50000000</v>
      </c>
      <c r="H16" s="46">
        <v>0.25</v>
      </c>
      <c r="I16" s="44">
        <f t="shared" ref="I16:I20" si="3">F16*H16</f>
        <v>12500000</v>
      </c>
    </row>
    <row r="17" spans="4:13" x14ac:dyDescent="0.55000000000000004">
      <c r="D17" s="43">
        <v>8</v>
      </c>
      <c r="E17" s="44">
        <v>100000000</v>
      </c>
      <c r="F17" s="48">
        <f t="shared" si="0"/>
        <v>50000000</v>
      </c>
      <c r="H17" s="46">
        <v>0.25</v>
      </c>
      <c r="I17" s="44">
        <f t="shared" si="3"/>
        <v>12500000</v>
      </c>
    </row>
    <row r="18" spans="4:13" x14ac:dyDescent="0.55000000000000004">
      <c r="D18" s="43">
        <v>9</v>
      </c>
      <c r="E18" s="44">
        <v>100000000</v>
      </c>
      <c r="F18" s="48">
        <f t="shared" si="0"/>
        <v>50000000</v>
      </c>
      <c r="H18" s="46">
        <v>0.25</v>
      </c>
      <c r="I18" s="44">
        <f t="shared" si="3"/>
        <v>12500000</v>
      </c>
    </row>
    <row r="19" spans="4:13" x14ac:dyDescent="0.55000000000000004">
      <c r="D19" s="43">
        <v>10</v>
      </c>
      <c r="E19" s="44">
        <v>100000000</v>
      </c>
      <c r="F19" s="48">
        <f t="shared" si="0"/>
        <v>50000000</v>
      </c>
      <c r="H19" s="46">
        <v>0.25</v>
      </c>
      <c r="I19" s="44">
        <f t="shared" si="3"/>
        <v>12500000</v>
      </c>
    </row>
    <row r="20" spans="4:13" x14ac:dyDescent="0.55000000000000004">
      <c r="D20" s="43">
        <v>11</v>
      </c>
      <c r="E20" s="44">
        <v>100000000</v>
      </c>
      <c r="F20" s="49">
        <f t="shared" si="0"/>
        <v>50000000</v>
      </c>
      <c r="H20" s="46">
        <v>0.3</v>
      </c>
      <c r="I20" s="44">
        <f t="shared" si="3"/>
        <v>15000000</v>
      </c>
    </row>
    <row r="21" spans="4:13" x14ac:dyDescent="0.55000000000000004">
      <c r="D21" s="43">
        <v>12</v>
      </c>
      <c r="E21" s="44">
        <v>100000000</v>
      </c>
      <c r="F21" s="49">
        <f t="shared" si="0"/>
        <v>50000000</v>
      </c>
      <c r="H21" s="46">
        <v>0.3</v>
      </c>
      <c r="I21" s="44">
        <f t="shared" ref="I21" si="4">F21*H21</f>
        <v>15000000</v>
      </c>
      <c r="M21" s="51">
        <f>E21-I21</f>
        <v>85000000</v>
      </c>
    </row>
    <row r="22" spans="4:13" x14ac:dyDescent="0.55000000000000004">
      <c r="E22" s="44">
        <f>SUM(E10:E21)</f>
        <v>1200000000</v>
      </c>
      <c r="I22" s="44">
        <f>SUM(I10:I21)</f>
        <v>125000000</v>
      </c>
    </row>
  </sheetData>
  <pageMargins left="0.7" right="0.7" top="0.75" bottom="0.75" header="0.3" footer="0.3"/>
  <pageSetup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O25"/>
  <sheetViews>
    <sheetView tabSelected="1" zoomScale="178" zoomScaleNormal="220" workbookViewId="0">
      <selection activeCell="B16" sqref="B16"/>
    </sheetView>
  </sheetViews>
  <sheetFormatPr defaultColWidth="8.90625" defaultRowHeight="12" x14ac:dyDescent="0.3"/>
  <cols>
    <col min="1" max="1" width="8.90625" style="19"/>
    <col min="2" max="2" width="19.90625" style="19" bestFit="1" customWidth="1"/>
    <col min="3" max="3" width="11.1796875" style="18" bestFit="1" customWidth="1"/>
    <col min="4" max="4" width="12.36328125" style="18" bestFit="1" customWidth="1"/>
    <col min="5" max="6" width="10.1796875" style="19" bestFit="1" customWidth="1"/>
    <col min="7" max="9" width="8.90625" style="19"/>
    <col min="10" max="10" width="9.54296875" style="19" bestFit="1" customWidth="1"/>
    <col min="11" max="13" width="8.90625" style="19"/>
    <col min="14" max="14" width="9.54296875" style="19" bestFit="1" customWidth="1"/>
    <col min="15" max="15" width="10.453125" style="19" bestFit="1" customWidth="1"/>
    <col min="16" max="16384" width="8.90625" style="19"/>
  </cols>
  <sheetData>
    <row r="2" spans="2:15" x14ac:dyDescent="0.3">
      <c r="B2" s="17" t="s">
        <v>163</v>
      </c>
    </row>
    <row r="3" spans="2:15" x14ac:dyDescent="0.3">
      <c r="B3" s="18" t="s">
        <v>53</v>
      </c>
      <c r="D3" s="19"/>
      <c r="F3" s="62"/>
      <c r="G3" s="62"/>
      <c r="H3" s="62"/>
      <c r="I3" s="62"/>
      <c r="J3" s="62"/>
      <c r="K3" s="62"/>
      <c r="L3" s="62"/>
      <c r="M3" s="62"/>
      <c r="O3" s="19" t="s">
        <v>5</v>
      </c>
    </row>
    <row r="4" spans="2:15" x14ac:dyDescent="0.3">
      <c r="B4" s="18" t="s">
        <v>52</v>
      </c>
      <c r="D4" s="19"/>
      <c r="F4" s="62" t="s">
        <v>98</v>
      </c>
      <c r="G4" s="62"/>
      <c r="H4" s="62" t="s">
        <v>15</v>
      </c>
      <c r="I4" s="63">
        <v>54000000</v>
      </c>
      <c r="J4" s="63"/>
      <c r="K4" s="63"/>
      <c r="L4" s="63"/>
      <c r="M4" s="63"/>
      <c r="O4" s="21">
        <f>SUM(I4:M4)</f>
        <v>54000000</v>
      </c>
    </row>
    <row r="5" spans="2:15" x14ac:dyDescent="0.3">
      <c r="B5" s="18" t="s">
        <v>161</v>
      </c>
      <c r="D5" s="19"/>
      <c r="F5" s="62" t="s">
        <v>99</v>
      </c>
      <c r="G5" s="62"/>
      <c r="H5" s="62" t="s">
        <v>100</v>
      </c>
      <c r="I5" s="63">
        <v>54000000</v>
      </c>
      <c r="J5" s="63">
        <v>4500000</v>
      </c>
      <c r="K5" s="63"/>
      <c r="L5" s="63"/>
      <c r="M5" s="63"/>
      <c r="O5" s="21">
        <f>SUM(I5:M5)</f>
        <v>58500000</v>
      </c>
    </row>
    <row r="6" spans="2:15" x14ac:dyDescent="0.3">
      <c r="B6" s="19" t="s">
        <v>0</v>
      </c>
      <c r="F6" s="62" t="s">
        <v>101</v>
      </c>
      <c r="G6" s="62"/>
      <c r="H6" s="62" t="s">
        <v>102</v>
      </c>
      <c r="I6" s="63">
        <v>54000000</v>
      </c>
      <c r="J6" s="63">
        <v>4500000</v>
      </c>
      <c r="K6" s="63">
        <v>4500000</v>
      </c>
      <c r="L6" s="63">
        <v>4500000</v>
      </c>
      <c r="M6" s="63"/>
      <c r="O6" s="21">
        <f>SUM(I6:M6)</f>
        <v>67500000</v>
      </c>
    </row>
    <row r="7" spans="2:15" x14ac:dyDescent="0.3">
      <c r="F7" s="62" t="s">
        <v>101</v>
      </c>
      <c r="G7" s="62"/>
      <c r="H7" s="62" t="s">
        <v>104</v>
      </c>
      <c r="I7" s="63">
        <v>54000000</v>
      </c>
      <c r="J7" s="63">
        <v>4500000</v>
      </c>
      <c r="K7" s="63">
        <v>4500000</v>
      </c>
      <c r="L7" s="63">
        <v>4500000</v>
      </c>
      <c r="M7" s="63">
        <v>54000000</v>
      </c>
      <c r="O7" s="21">
        <f>SUM(I7:M7)</f>
        <v>121500000</v>
      </c>
    </row>
    <row r="8" spans="2:15" x14ac:dyDescent="0.3">
      <c r="B8" s="19" t="s">
        <v>1</v>
      </c>
      <c r="D8" s="18">
        <v>50000000</v>
      </c>
      <c r="F8" s="62" t="s">
        <v>103</v>
      </c>
      <c r="G8" s="62"/>
      <c r="H8" s="62"/>
      <c r="I8" s="62"/>
      <c r="J8" s="62"/>
      <c r="K8" s="62"/>
      <c r="L8" s="62"/>
      <c r="M8" s="62"/>
    </row>
    <row r="9" spans="2:15" x14ac:dyDescent="0.3">
      <c r="B9" s="19" t="s">
        <v>2</v>
      </c>
      <c r="D9" s="20">
        <v>1000000</v>
      </c>
    </row>
    <row r="10" spans="2:15" x14ac:dyDescent="0.3">
      <c r="B10" s="19" t="s">
        <v>77</v>
      </c>
      <c r="D10" s="18">
        <f>D8+D9</f>
        <v>51000000</v>
      </c>
    </row>
    <row r="11" spans="2:15" x14ac:dyDescent="0.3">
      <c r="B11" s="19" t="s">
        <v>109</v>
      </c>
    </row>
    <row r="12" spans="2:15" x14ac:dyDescent="0.3">
      <c r="B12" s="19" t="s">
        <v>3</v>
      </c>
      <c r="C12" s="28" t="s">
        <v>105</v>
      </c>
      <c r="D12" s="20">
        <v>500000</v>
      </c>
    </row>
    <row r="13" spans="2:15" x14ac:dyDescent="0.3">
      <c r="B13" s="19" t="s">
        <v>4</v>
      </c>
      <c r="C13" s="28"/>
      <c r="D13" s="32">
        <f>D10-D12</f>
        <v>50500000</v>
      </c>
    </row>
    <row r="14" spans="2:15" x14ac:dyDescent="0.3">
      <c r="B14" s="19" t="s">
        <v>110</v>
      </c>
      <c r="D14" s="18">
        <f>D13*12</f>
        <v>606000000</v>
      </c>
    </row>
    <row r="15" spans="2:15" x14ac:dyDescent="0.3">
      <c r="B15" s="19" t="s">
        <v>106</v>
      </c>
      <c r="D15" s="20">
        <f>54000000+4500000</f>
        <v>58500000</v>
      </c>
    </row>
    <row r="16" spans="2:15" x14ac:dyDescent="0.3">
      <c r="B16" s="19" t="s">
        <v>107</v>
      </c>
      <c r="D16" s="18">
        <f>D14-D15</f>
        <v>547500000</v>
      </c>
    </row>
    <row r="17" spans="2:4" x14ac:dyDescent="0.3">
      <c r="B17" s="19" t="s">
        <v>7</v>
      </c>
    </row>
    <row r="18" spans="2:4" x14ac:dyDescent="0.3">
      <c r="B18" s="22">
        <v>0.05</v>
      </c>
      <c r="C18" s="18">
        <v>50000000</v>
      </c>
      <c r="D18" s="18">
        <f>B18*C18</f>
        <v>2500000</v>
      </c>
    </row>
    <row r="19" spans="2:4" x14ac:dyDescent="0.3">
      <c r="B19" s="22">
        <v>0.15</v>
      </c>
      <c r="C19" s="18">
        <v>200000000</v>
      </c>
      <c r="D19" s="18">
        <f t="shared" ref="D19:D21" si="0">B19*C19</f>
        <v>30000000</v>
      </c>
    </row>
    <row r="20" spans="2:4" x14ac:dyDescent="0.3">
      <c r="B20" s="22">
        <v>0.25</v>
      </c>
      <c r="C20" s="18">
        <v>250000000</v>
      </c>
      <c r="D20" s="18">
        <f t="shared" si="0"/>
        <v>62500000</v>
      </c>
    </row>
    <row r="21" spans="2:4" x14ac:dyDescent="0.3">
      <c r="B21" s="22">
        <v>0.3</v>
      </c>
      <c r="C21" s="18">
        <f>D16-(C18+C19+C20)</f>
        <v>47500000</v>
      </c>
      <c r="D21" s="18">
        <f t="shared" si="0"/>
        <v>14250000</v>
      </c>
    </row>
    <row r="22" spans="2:4" x14ac:dyDescent="0.3">
      <c r="B22" s="22"/>
    </row>
    <row r="23" spans="2:4" x14ac:dyDescent="0.3">
      <c r="B23" s="19" t="s">
        <v>8</v>
      </c>
      <c r="D23" s="18">
        <f>SUM(D18:D21)</f>
        <v>109250000</v>
      </c>
    </row>
    <row r="24" spans="2:4" x14ac:dyDescent="0.3">
      <c r="B24" s="30" t="s">
        <v>162</v>
      </c>
      <c r="C24" s="31"/>
      <c r="D24" s="31">
        <f>D23/12</f>
        <v>9104166.666666666</v>
      </c>
    </row>
    <row r="25" spans="2:4" x14ac:dyDescent="0.3">
      <c r="B25" s="19" t="s">
        <v>54</v>
      </c>
      <c r="C25" s="29" t="s">
        <v>108</v>
      </c>
      <c r="D25" s="18">
        <f>1.2*D24</f>
        <v>10924999.999999998</v>
      </c>
    </row>
  </sheetData>
  <pageMargins left="0.7" right="0.7" top="0.75" bottom="0.75" header="0.3" footer="0.3"/>
  <pageSetup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9"/>
  <sheetViews>
    <sheetView topLeftCell="A37" zoomScale="130" zoomScaleNormal="130" workbookViewId="0">
      <selection activeCell="B49" sqref="B49"/>
    </sheetView>
  </sheetViews>
  <sheetFormatPr defaultRowHeight="14.5" x14ac:dyDescent="0.35"/>
  <cols>
    <col min="2" max="2" width="29.6328125" customWidth="1"/>
    <col min="3" max="3" width="15.90625" customWidth="1"/>
    <col min="4" max="4" width="18.54296875" customWidth="1"/>
  </cols>
  <sheetData>
    <row r="1" spans="1:4" x14ac:dyDescent="0.35">
      <c r="B1" s="4" t="s">
        <v>65</v>
      </c>
    </row>
    <row r="2" spans="1:4" x14ac:dyDescent="0.35">
      <c r="B2" t="s">
        <v>22</v>
      </c>
    </row>
    <row r="4" spans="1:4" x14ac:dyDescent="0.35">
      <c r="A4" s="4" t="s">
        <v>23</v>
      </c>
      <c r="B4" s="4" t="s">
        <v>25</v>
      </c>
      <c r="C4" s="4" t="s">
        <v>35</v>
      </c>
    </row>
    <row r="5" spans="1:4" x14ac:dyDescent="0.35">
      <c r="B5" t="s">
        <v>24</v>
      </c>
      <c r="D5" s="1">
        <v>6500000</v>
      </c>
    </row>
    <row r="6" spans="1:4" x14ac:dyDescent="0.35">
      <c r="B6" t="s">
        <v>26</v>
      </c>
      <c r="C6" s="1" t="s">
        <v>27</v>
      </c>
      <c r="D6" s="1">
        <f>5*D5</f>
        <v>32500000</v>
      </c>
    </row>
    <row r="7" spans="1:4" x14ac:dyDescent="0.35">
      <c r="B7" t="s">
        <v>12</v>
      </c>
      <c r="C7" s="1"/>
      <c r="D7" s="1"/>
    </row>
    <row r="8" spans="1:4" x14ac:dyDescent="0.35">
      <c r="B8" t="s">
        <v>13</v>
      </c>
      <c r="C8" s="1">
        <f>5%*D6</f>
        <v>1625000</v>
      </c>
      <c r="D8" s="1"/>
    </row>
    <row r="9" spans="1:4" x14ac:dyDescent="0.35">
      <c r="B9" t="s">
        <v>14</v>
      </c>
      <c r="C9" s="1">
        <f>5*100000</f>
        <v>500000</v>
      </c>
      <c r="D9" s="1"/>
    </row>
    <row r="10" spans="1:4" x14ac:dyDescent="0.35">
      <c r="C10" s="1"/>
      <c r="D10" s="1">
        <f>C8+C9</f>
        <v>2125000</v>
      </c>
    </row>
    <row r="11" spans="1:4" x14ac:dyDescent="0.35">
      <c r="B11" t="s">
        <v>29</v>
      </c>
      <c r="C11" s="1" t="s">
        <v>67</v>
      </c>
      <c r="D11" s="1">
        <f>D6-D10</f>
        <v>30375000</v>
      </c>
    </row>
    <row r="12" spans="1:4" x14ac:dyDescent="0.35">
      <c r="B12" t="s">
        <v>30</v>
      </c>
      <c r="C12" s="6" t="s">
        <v>28</v>
      </c>
      <c r="D12" s="1">
        <f>12/5*D11</f>
        <v>72900000</v>
      </c>
    </row>
    <row r="13" spans="1:4" x14ac:dyDescent="0.35">
      <c r="C13" s="1"/>
      <c r="D13" s="1"/>
    </row>
    <row r="14" spans="1:4" x14ac:dyDescent="0.35">
      <c r="B14" t="s">
        <v>5</v>
      </c>
      <c r="C14" s="1" t="s">
        <v>15</v>
      </c>
      <c r="D14" s="1">
        <v>54000000</v>
      </c>
    </row>
    <row r="15" spans="1:4" x14ac:dyDescent="0.35">
      <c r="B15" t="s">
        <v>16</v>
      </c>
      <c r="C15" s="1"/>
      <c r="D15" s="1">
        <f>D12-D14</f>
        <v>18900000</v>
      </c>
    </row>
    <row r="16" spans="1:4" x14ac:dyDescent="0.35">
      <c r="B16" t="s">
        <v>31</v>
      </c>
      <c r="C16" s="3">
        <v>0.05</v>
      </c>
      <c r="D16" s="1">
        <f>D15*C16</f>
        <v>945000</v>
      </c>
    </row>
    <row r="17" spans="1:6" x14ac:dyDescent="0.35">
      <c r="B17" s="4" t="s">
        <v>32</v>
      </c>
      <c r="C17" s="7" t="s">
        <v>33</v>
      </c>
      <c r="D17" s="1">
        <f>5/12*D16</f>
        <v>393750</v>
      </c>
      <c r="F17" s="4" t="s">
        <v>59</v>
      </c>
    </row>
    <row r="19" spans="1:6" x14ac:dyDescent="0.35">
      <c r="A19" s="4" t="s">
        <v>37</v>
      </c>
      <c r="B19" s="4" t="s">
        <v>34</v>
      </c>
      <c r="C19" s="4" t="s">
        <v>36</v>
      </c>
    </row>
    <row r="20" spans="1:6" x14ac:dyDescent="0.35">
      <c r="B20" t="s">
        <v>24</v>
      </c>
      <c r="D20" s="1">
        <v>5500000</v>
      </c>
    </row>
    <row r="21" spans="1:6" x14ac:dyDescent="0.35">
      <c r="B21" t="s">
        <v>55</v>
      </c>
      <c r="C21" s="1" t="s">
        <v>38</v>
      </c>
      <c r="D21" s="1">
        <f>4*D20</f>
        <v>22000000</v>
      </c>
    </row>
    <row r="22" spans="1:6" x14ac:dyDescent="0.35">
      <c r="B22" t="s">
        <v>12</v>
      </c>
      <c r="C22" s="1"/>
      <c r="D22" s="1"/>
    </row>
    <row r="23" spans="1:6" x14ac:dyDescent="0.35">
      <c r="B23" t="s">
        <v>13</v>
      </c>
      <c r="C23" s="1">
        <f>5%*D21</f>
        <v>1100000</v>
      </c>
      <c r="D23" s="1"/>
    </row>
    <row r="24" spans="1:6" x14ac:dyDescent="0.35">
      <c r="B24" t="s">
        <v>14</v>
      </c>
      <c r="C24" s="1">
        <f>4*100000</f>
        <v>400000</v>
      </c>
      <c r="D24" s="1"/>
    </row>
    <row r="25" spans="1:6" x14ac:dyDescent="0.35">
      <c r="C25" s="1"/>
      <c r="D25" s="1">
        <f>C23+C24</f>
        <v>1500000</v>
      </c>
    </row>
    <row r="26" spans="1:6" x14ac:dyDescent="0.35">
      <c r="B26" t="s">
        <v>29</v>
      </c>
      <c r="C26" s="1"/>
      <c r="D26" s="1">
        <f>D21-D25</f>
        <v>20500000</v>
      </c>
    </row>
    <row r="27" spans="1:6" x14ac:dyDescent="0.35">
      <c r="B27" t="s">
        <v>30</v>
      </c>
      <c r="C27" s="6" t="s">
        <v>39</v>
      </c>
      <c r="D27" s="1">
        <f>12/4*D26</f>
        <v>61500000</v>
      </c>
    </row>
    <row r="28" spans="1:6" x14ac:dyDescent="0.35">
      <c r="C28" s="1"/>
      <c r="D28" s="1"/>
    </row>
    <row r="29" spans="1:6" x14ac:dyDescent="0.35">
      <c r="B29" t="s">
        <v>5</v>
      </c>
      <c r="C29" s="1" t="s">
        <v>15</v>
      </c>
      <c r="D29" s="1">
        <v>54000000</v>
      </c>
    </row>
    <row r="30" spans="1:6" x14ac:dyDescent="0.35">
      <c r="B30" t="s">
        <v>16</v>
      </c>
      <c r="C30" s="1"/>
      <c r="D30" s="1">
        <f>D27-D29</f>
        <v>7500000</v>
      </c>
    </row>
    <row r="31" spans="1:6" x14ac:dyDescent="0.35">
      <c r="B31" t="s">
        <v>31</v>
      </c>
      <c r="C31" s="3">
        <v>0.05</v>
      </c>
      <c r="D31" s="1">
        <f>D30*C31</f>
        <v>375000</v>
      </c>
    </row>
    <row r="32" spans="1:6" x14ac:dyDescent="0.35">
      <c r="B32" s="4" t="s">
        <v>41</v>
      </c>
      <c r="C32" s="7" t="s">
        <v>40</v>
      </c>
      <c r="D32" s="1">
        <f>4/12*D31</f>
        <v>125000</v>
      </c>
      <c r="F32" t="s">
        <v>60</v>
      </c>
    </row>
    <row r="34" spans="1:6" x14ac:dyDescent="0.35">
      <c r="A34" t="s">
        <v>42</v>
      </c>
      <c r="B34" s="4" t="s">
        <v>43</v>
      </c>
      <c r="C34" s="4" t="s">
        <v>44</v>
      </c>
    </row>
    <row r="35" spans="1:6" x14ac:dyDescent="0.35">
      <c r="B35" t="s">
        <v>24</v>
      </c>
      <c r="D35" s="1">
        <v>7500000</v>
      </c>
    </row>
    <row r="36" spans="1:6" x14ac:dyDescent="0.35">
      <c r="B36" t="s">
        <v>56</v>
      </c>
      <c r="C36" s="1" t="s">
        <v>45</v>
      </c>
      <c r="D36" s="1">
        <f>3*D35</f>
        <v>22500000</v>
      </c>
    </row>
    <row r="37" spans="1:6" x14ac:dyDescent="0.35">
      <c r="B37" t="s">
        <v>12</v>
      </c>
      <c r="C37" s="1"/>
      <c r="D37" s="1"/>
    </row>
    <row r="38" spans="1:6" x14ac:dyDescent="0.35">
      <c r="B38" t="s">
        <v>13</v>
      </c>
      <c r="C38" s="1">
        <f>5%*D36</f>
        <v>1125000</v>
      </c>
      <c r="D38" s="1"/>
    </row>
    <row r="39" spans="1:6" x14ac:dyDescent="0.35">
      <c r="B39" t="s">
        <v>14</v>
      </c>
      <c r="C39" s="1">
        <f>3*100000</f>
        <v>300000</v>
      </c>
      <c r="D39" s="1"/>
    </row>
    <row r="40" spans="1:6" x14ac:dyDescent="0.35">
      <c r="C40" s="1"/>
      <c r="D40" s="1">
        <f>C38+C39</f>
        <v>1425000</v>
      </c>
    </row>
    <row r="41" spans="1:6" x14ac:dyDescent="0.35">
      <c r="B41" t="s">
        <v>29</v>
      </c>
      <c r="C41" s="1"/>
      <c r="D41" s="1">
        <f>D36-D40</f>
        <v>21075000</v>
      </c>
    </row>
    <row r="42" spans="1:6" x14ac:dyDescent="0.35">
      <c r="B42" t="s">
        <v>30</v>
      </c>
      <c r="C42" s="6" t="s">
        <v>46</v>
      </c>
      <c r="D42" s="1">
        <f>12/3*D41</f>
        <v>84300000</v>
      </c>
    </row>
    <row r="43" spans="1:6" x14ac:dyDescent="0.35">
      <c r="C43" s="1"/>
      <c r="D43" s="1"/>
    </row>
    <row r="44" spans="1:6" x14ac:dyDescent="0.35">
      <c r="B44" t="s">
        <v>5</v>
      </c>
      <c r="C44" s="1" t="s">
        <v>15</v>
      </c>
      <c r="D44" s="1">
        <v>54000000</v>
      </c>
    </row>
    <row r="45" spans="1:6" x14ac:dyDescent="0.35">
      <c r="B45" t="s">
        <v>16</v>
      </c>
      <c r="C45" s="1"/>
      <c r="D45" s="1">
        <f>D42-D44</f>
        <v>30300000</v>
      </c>
    </row>
    <row r="46" spans="1:6" x14ac:dyDescent="0.35">
      <c r="B46" t="s">
        <v>31</v>
      </c>
      <c r="C46" s="3">
        <v>0.05</v>
      </c>
      <c r="D46" s="1">
        <f>D45*C46</f>
        <v>1515000</v>
      </c>
    </row>
    <row r="47" spans="1:6" x14ac:dyDescent="0.35">
      <c r="B47" s="4" t="s">
        <v>57</v>
      </c>
      <c r="C47" s="7" t="s">
        <v>47</v>
      </c>
      <c r="D47" s="1">
        <f>3/12*D46</f>
        <v>378750</v>
      </c>
      <c r="F47" t="s">
        <v>61</v>
      </c>
    </row>
    <row r="49" spans="2:6" x14ac:dyDescent="0.35">
      <c r="B49" s="4" t="s">
        <v>58</v>
      </c>
      <c r="F49" s="10">
        <f>D47+D32+D17</f>
        <v>897500</v>
      </c>
    </row>
  </sheetData>
  <pageMargins left="0.7" right="0.7" top="0.75" bottom="0.75" header="0.3" footer="0.3"/>
  <pageSetup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F17"/>
  <sheetViews>
    <sheetView topLeftCell="A5" zoomScale="130" zoomScaleNormal="130" workbookViewId="0">
      <selection activeCell="B18" sqref="B18"/>
    </sheetView>
  </sheetViews>
  <sheetFormatPr defaultRowHeight="14.5" x14ac:dyDescent="0.35"/>
  <cols>
    <col min="2" max="2" width="18.54296875" customWidth="1"/>
    <col min="3" max="3" width="10.1796875" bestFit="1" customWidth="1"/>
    <col min="4" max="4" width="11.1796875" bestFit="1" customWidth="1"/>
  </cols>
  <sheetData>
    <row r="2" spans="2:6" x14ac:dyDescent="0.35">
      <c r="B2" s="9" t="s">
        <v>18</v>
      </c>
    </row>
    <row r="3" spans="2:6" x14ac:dyDescent="0.35">
      <c r="B3" s="4" t="s">
        <v>21</v>
      </c>
    </row>
    <row r="4" spans="2:6" x14ac:dyDescent="0.35">
      <c r="B4" t="s">
        <v>64</v>
      </c>
    </row>
    <row r="5" spans="2:6" x14ac:dyDescent="0.35">
      <c r="B5" t="s">
        <v>62</v>
      </c>
    </row>
    <row r="7" spans="2:6" x14ac:dyDescent="0.35">
      <c r="B7" t="s">
        <v>20</v>
      </c>
      <c r="C7">
        <v>4</v>
      </c>
    </row>
    <row r="8" spans="2:6" x14ac:dyDescent="0.35">
      <c r="B8">
        <v>4</v>
      </c>
      <c r="C8" s="1">
        <v>200000</v>
      </c>
      <c r="D8" s="1">
        <f>B8*C8</f>
        <v>800000</v>
      </c>
      <c r="F8" t="s">
        <v>66</v>
      </c>
    </row>
    <row r="9" spans="2:6" x14ac:dyDescent="0.35">
      <c r="B9" t="s">
        <v>19</v>
      </c>
    </row>
    <row r="10" spans="2:6" x14ac:dyDescent="0.35">
      <c r="B10">
        <v>6</v>
      </c>
      <c r="C10" s="1">
        <f>D8</f>
        <v>800000</v>
      </c>
      <c r="D10" s="1">
        <f>B10*C10</f>
        <v>4800000</v>
      </c>
      <c r="F10" t="s">
        <v>66</v>
      </c>
    </row>
    <row r="11" spans="2:6" x14ac:dyDescent="0.35">
      <c r="C11" s="1"/>
      <c r="D11" s="1"/>
    </row>
    <row r="12" spans="2:6" x14ac:dyDescent="0.35">
      <c r="B12" t="s">
        <v>63</v>
      </c>
      <c r="C12" s="1"/>
      <c r="D12" s="1"/>
    </row>
    <row r="13" spans="2:6" x14ac:dyDescent="0.35">
      <c r="C13" s="1"/>
      <c r="D13" s="1"/>
    </row>
    <row r="14" spans="2:6" x14ac:dyDescent="0.35">
      <c r="C14" s="1"/>
      <c r="D14" s="1"/>
    </row>
    <row r="15" spans="2:6" x14ac:dyDescent="0.35">
      <c r="C15" s="1"/>
      <c r="D15" s="1"/>
    </row>
    <row r="16" spans="2:6" x14ac:dyDescent="0.35">
      <c r="C16" s="1"/>
      <c r="D16" s="1"/>
    </row>
    <row r="17" spans="3:4" x14ac:dyDescent="0.35">
      <c r="C17" s="1"/>
      <c r="D17" s="1"/>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 1</vt:lpstr>
      <vt:lpstr>no 2 (anton)</vt:lpstr>
      <vt:lpstr>no 2 (anton) (2)</vt:lpstr>
      <vt:lpstr>PEK BEBAS</vt:lpstr>
      <vt:lpstr> td memiliki NPWP</vt:lpstr>
      <vt:lpstr>pindah tugas</vt:lpstr>
      <vt:lpstr>upah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hp</cp:lastModifiedBy>
  <dcterms:created xsi:type="dcterms:W3CDTF">2016-09-16T03:58:54Z</dcterms:created>
  <dcterms:modified xsi:type="dcterms:W3CDTF">2021-10-21T01:46:13Z</dcterms:modified>
</cp:coreProperties>
</file>