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<sst xmlns="http://schemas.openxmlformats.org/spreadsheetml/2006/main" count="198" uniqueCount="137">
  <si>
    <t>Nomer Kelompok</t>
  </si>
  <si>
    <t>: 2</t>
  </si>
  <si>
    <t>Anggota Kelompok</t>
  </si>
  <si>
    <t>: Adellia Dwi Rahmawati (632401080009)</t>
  </si>
  <si>
    <t>: Astrid Bela Nabila (632401080043)</t>
  </si>
  <si>
    <t>: Dina Safira Afifah (632401080019)</t>
  </si>
  <si>
    <t>: Hanifah Kusuma Pratiwi (632401080032)</t>
  </si>
  <si>
    <t>: Maryani Atikah Kurniaty (632401080026)</t>
  </si>
  <si>
    <t>: Nurul A’eni (632401080042)</t>
  </si>
  <si>
    <t>: Rahma Dilla Azani (632401080031)</t>
  </si>
  <si>
    <t>: Sasi Sasmita Sari P. (632401080010)</t>
  </si>
  <si>
    <t>: Zalfadhia Luthfia Oemardy (632401080040)</t>
  </si>
  <si>
    <t>Jenis Produk</t>
  </si>
  <si>
    <t>: Tepung Tapioka</t>
  </si>
  <si>
    <t>I.</t>
  </si>
  <si>
    <t>Capital Investment</t>
  </si>
  <si>
    <t>a.</t>
  </si>
  <si>
    <t>Working Capital Investment</t>
  </si>
  <si>
    <t>No.</t>
  </si>
  <si>
    <t>Komponen Biaya</t>
  </si>
  <si>
    <t>Satuan</t>
  </si>
  <si>
    <t>Harga Satuan</t>
  </si>
  <si>
    <t>Jumlah Satuan</t>
  </si>
  <si>
    <t>Total</t>
  </si>
  <si>
    <t>Singkong</t>
  </si>
  <si>
    <t>Ton</t>
  </si>
  <si>
    <t>Plastik &amp; Karung</t>
  </si>
  <si>
    <t>Buah</t>
  </si>
  <si>
    <t>Karton/ Kardus</t>
  </si>
  <si>
    <t>Lusin</t>
  </si>
  <si>
    <t>Total biaya raw material</t>
  </si>
  <si>
    <t>Manufacturing cost (MC = DMC + IMC + FMC)</t>
  </si>
  <si>
    <t>Raw Material Inventory</t>
  </si>
  <si>
    <t>In Process Inventory</t>
  </si>
  <si>
    <t>Product Inventory</t>
  </si>
  <si>
    <t>Extended Credit</t>
  </si>
  <si>
    <t>Available Cash</t>
  </si>
  <si>
    <t>Total Biaya</t>
  </si>
  <si>
    <t>b.</t>
  </si>
  <si>
    <t>Fixed Capital Investment</t>
  </si>
  <si>
    <t>Mesin Pengupas Singkong</t>
  </si>
  <si>
    <t>Mesin Pemotong Singkong</t>
  </si>
  <si>
    <t>Mesin Grinder</t>
  </si>
  <si>
    <t>Mesin Pengemas</t>
  </si>
  <si>
    <t>Mesin pencuci singkong</t>
  </si>
  <si>
    <t>Mesin pencampuran</t>
  </si>
  <si>
    <t>Mesin pengayakan</t>
  </si>
  <si>
    <t xml:space="preserve">Mesin Pengering </t>
  </si>
  <si>
    <t>Mesin Ekstrasi</t>
  </si>
  <si>
    <t>Total Purchased Equipment Cost (PEC)</t>
  </si>
  <si>
    <t>Tangki Limbah</t>
  </si>
  <si>
    <t>Belt conveyors</t>
  </si>
  <si>
    <t>Auger Conveyors</t>
  </si>
  <si>
    <t>Heat Exchangers</t>
  </si>
  <si>
    <t>Storage</t>
  </si>
  <si>
    <t>Total Utility Equipment Cost (UEC)</t>
  </si>
  <si>
    <t>Harga Alat</t>
  </si>
  <si>
    <t>Harga Pekerja untuk instalasi alat</t>
  </si>
  <si>
    <t>Biaya Pengiriman alat</t>
  </si>
  <si>
    <t>Biaya Pemasangan alat</t>
  </si>
  <si>
    <t>Biaya Pemipaan</t>
  </si>
  <si>
    <t>Biaya Instrumentasi</t>
  </si>
  <si>
    <t>Biaya Insulasi</t>
  </si>
  <si>
    <t>Biaya Instalasi Alat Listrik</t>
  </si>
  <si>
    <t>Biaya pembangunan gedung fisik</t>
  </si>
  <si>
    <t>Biaya pembelian lahan</t>
  </si>
  <si>
    <t>Biaya Utilitas</t>
  </si>
  <si>
    <t>Physical Plant Cost (PPC)</t>
  </si>
  <si>
    <t>Engineering Procurement Construction (EPC)</t>
  </si>
  <si>
    <t>Direct Plant Cost (DPC)</t>
  </si>
  <si>
    <t>Contractor Fee</t>
  </si>
  <si>
    <t>Contingency</t>
  </si>
  <si>
    <t>II.</t>
  </si>
  <si>
    <t>Manufacturing Cost</t>
  </si>
  <si>
    <t>Direct Manufacturing Cost</t>
  </si>
  <si>
    <t>ton</t>
  </si>
  <si>
    <t>Listrik</t>
  </si>
  <si>
    <t>kWh</t>
  </si>
  <si>
    <t>Air</t>
  </si>
  <si>
    <t>m³</t>
  </si>
  <si>
    <t>Raw material</t>
  </si>
  <si>
    <t>Sales</t>
  </si>
  <si>
    <t>Operating Labor</t>
  </si>
  <si>
    <t>Supervision</t>
  </si>
  <si>
    <t>Maintenance</t>
  </si>
  <si>
    <t>Supplies</t>
  </si>
  <si>
    <t>Royalties &amp; Patent</t>
  </si>
  <si>
    <t>Indirect Manufacturing Cost</t>
  </si>
  <si>
    <t>Payroll Overhead</t>
  </si>
  <si>
    <t>Laboratory</t>
  </si>
  <si>
    <t>Plant Overhead</t>
  </si>
  <si>
    <t>Packaging &amp; Shiping</t>
  </si>
  <si>
    <t>c.</t>
  </si>
  <si>
    <t>Fixed Manufacturing Cost</t>
  </si>
  <si>
    <t>Depreciation</t>
  </si>
  <si>
    <t xml:space="preserve">Property Taxed </t>
  </si>
  <si>
    <t>Insurance</t>
  </si>
  <si>
    <t>III.</t>
  </si>
  <si>
    <t>General Expenses</t>
  </si>
  <si>
    <t>Administration</t>
  </si>
  <si>
    <t>Perbulan</t>
  </si>
  <si>
    <t>Promotion</t>
  </si>
  <si>
    <t>Research</t>
  </si>
  <si>
    <t>Finance</t>
  </si>
  <si>
    <t>Jabatan</t>
  </si>
  <si>
    <t>Jumlah</t>
  </si>
  <si>
    <t>Gaji/Bulan/Orang</t>
  </si>
  <si>
    <t>direktur utama</t>
  </si>
  <si>
    <t xml:space="preserve">direktur </t>
  </si>
  <si>
    <t>kabag keuangan&amp; administrasi</t>
  </si>
  <si>
    <t>kabag keuangan</t>
  </si>
  <si>
    <t>kabag administrasi</t>
  </si>
  <si>
    <t>kabag produksi</t>
  </si>
  <si>
    <t>qc</t>
  </si>
  <si>
    <t>rnd</t>
  </si>
  <si>
    <t>kabag operasional</t>
  </si>
  <si>
    <t>kabag gudang</t>
  </si>
  <si>
    <t>supervisor</t>
  </si>
  <si>
    <t>kabag pemasaran</t>
  </si>
  <si>
    <t>kabag pem online</t>
  </si>
  <si>
    <t>kabag pem offline</t>
  </si>
  <si>
    <t>pengemasan</t>
  </si>
  <si>
    <t>gudang</t>
  </si>
  <si>
    <t>staf keuangan</t>
  </si>
  <si>
    <t>staf admin</t>
  </si>
  <si>
    <t>staff qc</t>
  </si>
  <si>
    <t>staff rnd</t>
  </si>
  <si>
    <t>staf produksi</t>
  </si>
  <si>
    <t>staf admin online</t>
  </si>
  <si>
    <t>staf admin offline</t>
  </si>
  <si>
    <t>staf pengemasan</t>
  </si>
  <si>
    <t>staf gudang</t>
  </si>
  <si>
    <t>kep security</t>
  </si>
  <si>
    <t>security</t>
  </si>
  <si>
    <t>tenaga kebersihan</t>
  </si>
  <si>
    <t>operasional</t>
  </si>
  <si>
    <t xml:space="preserve">teknisi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</si>
</sst>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Rp&quot;#,##0.00"/>
    <numFmt numFmtId="165" formatCode="&quot;Rp&quot;#,##0"/>
    <numFmt numFmtId="166" formatCode="[$Rp-421]#,##0.00"/>
  </numFmts>
  <fonts count="22">
    <font>
      <sz val="10.0"/>
      <color rgb="FF000000"/>
      <name val="Arial"/>
      <scheme val="minor"/>
    </font>
    <font>
      <b/>
      <sz val="12.0"/>
      <color rgb="FF000000"/>
      <name val="Times New Roman"/>
    </font>
    <font>
      <color theme="1"/>
      <name val="Times New Roman"/>
    </font>
    <font>
      <b/>
      <sz val="11.0"/>
      <color rgb="FF156082"/>
      <name val="Times New Roman"/>
    </font>
    <font>
      <sz val="11.0"/>
      <color rgb="FF000000"/>
      <name val="Times New Roman"/>
    </font>
    <font>
      <b/>
      <sz val="11.0"/>
      <color rgb="FF000000"/>
      <name val="Times New Roman"/>
    </font>
    <font/>
    <font>
      <b/>
      <i/>
      <sz val="11.0"/>
      <color rgb="FF000000"/>
      <name val="Times New Roman"/>
    </font>
    <font>
      <i/>
      <sz val="11.0"/>
      <color rgb="FF000000"/>
      <name val="Times New Roman"/>
    </font>
    <font>
      <i/>
      <sz val="12.0"/>
      <color rgb="FF000000"/>
      <name val="Times New Roman"/>
    </font>
    <font>
      <b/>
      <i/>
      <sz val="12.0"/>
      <color rgb="FF000000"/>
      <name val="Times New Roman"/>
    </font>
    <font>
      <sz val="12.0"/>
      <color rgb="FF000000"/>
      <name val="Times New Roman"/>
    </font>
    <font>
      <sz val="11.0"/>
      <color rgb="FF000000"/>
      <name val="&quot;Aptos Narrow&quot;"/>
    </font>
    <font>
      <b/>
      <sz val="11.0"/>
      <color rgb="FF156082"/>
      <name val="&quot;Aptos Narrow&quot;"/>
    </font>
    <font>
      <b/>
      <sz val="11.0"/>
      <color rgb="FF000000"/>
      <name val="&quot;Aptos Narrow&quot;"/>
    </font>
    <font>
      <sz val="11.0"/>
      <color rgb="FF000000"/>
      <name val="Arial"/>
    </font>
    <font>
      <b/>
      <i/>
      <sz val="11.0"/>
      <color rgb="FF000000"/>
      <name val="&quot;Aptos Narrow&quot;"/>
    </font>
    <font>
      <color theme="1"/>
      <name val="Arial"/>
      <scheme val="minor"/>
    </font>
    <font>
      <i/>
      <sz val="11.0"/>
      <color rgb="FF000000"/>
      <name val="&quot;Aptos Narrow&quot;"/>
    </font>
    <font>
      <i/>
      <sz val="11.0"/>
      <color rgb="FF000000"/>
      <name val="Arial"/>
    </font>
    <font>
      <sz val="12.0"/>
      <color rgb="FF000000"/>
      <name val="Arial"/>
    </font>
    <font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C0E6F5"/>
        <bgColor rgb="FFC0E6F5"/>
      </patternFill>
    </fill>
    <fill>
      <patternFill patternType="solid">
        <fgColor rgb="FFFFFFFF"/>
        <bgColor rgb="FFFFFFFF"/>
      </patternFill>
    </fill>
    <fill>
      <patternFill patternType="solid">
        <fgColor rgb="FF6FA8DC"/>
        <bgColor rgb="FF6FA8DC"/>
      </patternFill>
    </fill>
    <fill>
      <patternFill patternType="solid">
        <fgColor rgb="FFBF9000"/>
        <bgColor rgb="FFBF9000"/>
      </patternFill>
    </fill>
    <fill>
      <patternFill patternType="solid">
        <fgColor rgb="FF6D9EEB"/>
        <bgColor rgb="FF6D9EEB"/>
      </patternFill>
    </fill>
    <fill>
      <patternFill patternType="solid">
        <fgColor rgb="FFB45F06"/>
        <bgColor rgb="FFB45F06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Font="1"/>
    <xf borderId="0" fillId="0" fontId="3" numFmtId="0" xfId="0" applyAlignment="1" applyFont="1">
      <alignment readingOrder="0"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readingOrder="0" shrinkToFit="0" vertical="bottom" wrapText="0"/>
    </xf>
    <xf borderId="1" fillId="2" fontId="5" numFmtId="0" xfId="0" applyAlignment="1" applyBorder="1" applyFill="1" applyFont="1">
      <alignment readingOrder="0" shrinkToFit="0" vertical="bottom" wrapText="0"/>
    </xf>
    <xf borderId="2" fillId="2" fontId="5" numFmtId="0" xfId="0" applyAlignment="1" applyBorder="1" applyFont="1">
      <alignment readingOrder="0" shrinkToFit="0" vertical="bottom" wrapText="0"/>
    </xf>
    <xf borderId="2" fillId="2" fontId="5" numFmtId="0" xfId="0" applyAlignment="1" applyBorder="1" applyFont="1">
      <alignment horizontal="center" readingOrder="0" shrinkToFit="0" vertical="bottom" wrapText="0"/>
    </xf>
    <xf borderId="3" fillId="3" fontId="4" numFmtId="0" xfId="0" applyAlignment="1" applyBorder="1" applyFill="1" applyFont="1">
      <alignment horizontal="center" readingOrder="0" shrinkToFit="0" vertical="bottom" wrapText="0"/>
    </xf>
    <xf borderId="4" fillId="3" fontId="4" numFmtId="0" xfId="0" applyAlignment="1" applyBorder="1" applyFont="1">
      <alignment horizontal="center" readingOrder="0" shrinkToFit="0" vertical="bottom" wrapText="0"/>
    </xf>
    <xf borderId="5" fillId="3" fontId="4" numFmtId="0" xfId="0" applyAlignment="1" applyBorder="1" applyFont="1">
      <alignment horizontal="center" readingOrder="0" shrinkToFit="0" vertical="bottom" wrapText="0"/>
    </xf>
    <xf borderId="5" fillId="3" fontId="4" numFmtId="164" xfId="0" applyAlignment="1" applyBorder="1" applyFont="1" applyNumberFormat="1">
      <alignment horizontal="right" readingOrder="0" shrinkToFit="0" vertical="bottom" wrapText="0"/>
    </xf>
    <xf borderId="5" fillId="3" fontId="4" numFmtId="165" xfId="0" applyAlignment="1" applyBorder="1" applyFont="1" applyNumberFormat="1">
      <alignment readingOrder="0" shrinkToFit="0" vertical="bottom" wrapText="0"/>
    </xf>
    <xf borderId="4" fillId="0" fontId="4" numFmtId="0" xfId="0" applyAlignment="1" applyBorder="1" applyFont="1">
      <alignment horizontal="center" readingOrder="0" shrinkToFit="0" vertical="bottom" wrapText="0"/>
    </xf>
    <xf borderId="4" fillId="3" fontId="4" numFmtId="164" xfId="0" applyAlignment="1" applyBorder="1" applyFont="1" applyNumberFormat="1">
      <alignment horizontal="right" readingOrder="0" shrinkToFit="0" vertical="bottom" wrapText="0"/>
    </xf>
    <xf borderId="3" fillId="3" fontId="4" numFmtId="0" xfId="0" applyAlignment="1" applyBorder="1" applyFont="1">
      <alignment horizontal="center" readingOrder="0" shrinkToFit="0" wrapText="0"/>
    </xf>
    <xf borderId="6" fillId="4" fontId="5" numFmtId="0" xfId="0" applyAlignment="1" applyBorder="1" applyFill="1" applyFont="1">
      <alignment horizontal="center" readingOrder="0" shrinkToFit="0" vertical="bottom" wrapText="0"/>
    </xf>
    <xf borderId="7" fillId="0" fontId="6" numFmtId="0" xfId="0" applyBorder="1" applyFont="1"/>
    <xf borderId="5" fillId="0" fontId="6" numFmtId="0" xfId="0" applyBorder="1" applyFont="1"/>
    <xf borderId="4" fillId="4" fontId="5" numFmtId="165" xfId="0" applyAlignment="1" applyBorder="1" applyFont="1" applyNumberFormat="1">
      <alignment readingOrder="0" shrinkToFit="0" vertical="bottom" wrapText="0"/>
    </xf>
    <xf borderId="6" fillId="4" fontId="7" numFmtId="0" xfId="0" applyAlignment="1" applyBorder="1" applyFont="1">
      <alignment horizontal="center" readingOrder="0" shrinkToFit="0" vertical="bottom" wrapText="0"/>
    </xf>
    <xf borderId="4" fillId="4" fontId="5" numFmtId="164" xfId="0" applyAlignment="1" applyBorder="1" applyFont="1" applyNumberFormat="1">
      <alignment readingOrder="0" shrinkToFit="0" vertical="bottom" wrapText="0"/>
    </xf>
    <xf borderId="3" fillId="0" fontId="4" numFmtId="0" xfId="0" applyAlignment="1" applyBorder="1" applyFont="1">
      <alignment horizontal="center" readingOrder="0" shrinkToFit="0" vertical="bottom" wrapText="0"/>
    </xf>
    <xf borderId="7" fillId="0" fontId="8" numFmtId="0" xfId="0" applyAlignment="1" applyBorder="1" applyFont="1">
      <alignment horizontal="center" readingOrder="0" shrinkToFit="0" vertical="bottom" wrapText="0"/>
    </xf>
    <xf borderId="4" fillId="0" fontId="4" numFmtId="165" xfId="0" applyAlignment="1" applyBorder="1" applyFont="1" applyNumberFormat="1">
      <alignment readingOrder="0" shrinkToFit="0" vertical="bottom" wrapText="0"/>
    </xf>
    <xf borderId="4" fillId="0" fontId="4" numFmtId="164" xfId="0" applyAlignment="1" applyBorder="1" applyFont="1" applyNumberFormat="1">
      <alignment readingOrder="0" shrinkToFit="0" vertical="bottom" wrapText="0"/>
    </xf>
    <xf borderId="8" fillId="5" fontId="5" numFmtId="0" xfId="0" applyAlignment="1" applyBorder="1" applyFill="1" applyFont="1">
      <alignment readingOrder="0" shrinkToFit="0" vertical="bottom" wrapText="0"/>
    </xf>
    <xf borderId="9" fillId="5" fontId="4" numFmtId="165" xfId="0" applyAlignment="1" applyBorder="1" applyFont="1" applyNumberFormat="1">
      <alignment readingOrder="0" shrinkToFit="0" vertical="bottom" wrapText="0"/>
    </xf>
    <xf borderId="10" fillId="2" fontId="5" numFmtId="0" xfId="0" applyAlignment="1" applyBorder="1" applyFont="1">
      <alignment readingOrder="0" shrinkToFit="0" vertical="bottom" wrapText="0"/>
    </xf>
    <xf borderId="11" fillId="3" fontId="4" numFmtId="0" xfId="0" applyAlignment="1" applyBorder="1" applyFont="1">
      <alignment horizontal="center" readingOrder="0" shrinkToFit="0" vertical="bottom" wrapText="0"/>
    </xf>
    <xf borderId="12" fillId="0" fontId="4" numFmtId="0" xfId="0" applyAlignment="1" applyBorder="1" applyFont="1">
      <alignment readingOrder="0" shrinkToFit="0" vertical="bottom" wrapText="0"/>
    </xf>
    <xf borderId="4" fillId="0" fontId="4" numFmtId="166" xfId="0" applyAlignment="1" applyBorder="1" applyFont="1" applyNumberFormat="1">
      <alignment readingOrder="0" shrinkToFit="0" vertical="bottom" wrapText="0"/>
    </xf>
    <xf borderId="4" fillId="3" fontId="4" numFmtId="166" xfId="0" applyAlignment="1" applyBorder="1" applyFont="1" applyNumberFormat="1">
      <alignment readingOrder="0" shrinkToFit="0" vertical="bottom" wrapText="0"/>
    </xf>
    <xf borderId="13" fillId="3" fontId="4" numFmtId="0" xfId="0" applyAlignment="1" applyBorder="1" applyFont="1">
      <alignment horizontal="center" readingOrder="0" shrinkToFit="0" vertical="bottom" wrapText="0"/>
    </xf>
    <xf borderId="3" fillId="3" fontId="9" numFmtId="0" xfId="0" applyAlignment="1" applyBorder="1" applyFont="1">
      <alignment readingOrder="0"/>
    </xf>
    <xf borderId="14" fillId="3" fontId="4" numFmtId="166" xfId="0" applyAlignment="1" applyBorder="1" applyFont="1" applyNumberFormat="1">
      <alignment readingOrder="0" shrinkToFit="0" vertical="bottom" wrapText="0"/>
    </xf>
    <xf borderId="15" fillId="3" fontId="4" numFmtId="0" xfId="0" applyAlignment="1" applyBorder="1" applyFont="1">
      <alignment horizontal="center" readingOrder="0" shrinkToFit="0" vertical="bottom" wrapText="0"/>
    </xf>
    <xf borderId="5" fillId="3" fontId="4" numFmtId="166" xfId="0" applyAlignment="1" applyBorder="1" applyFont="1" applyNumberFormat="1">
      <alignment readingOrder="0" shrinkToFit="0" vertical="bottom" wrapText="0"/>
    </xf>
    <xf borderId="4" fillId="3" fontId="4" numFmtId="0" xfId="0" applyAlignment="1" applyBorder="1" applyFont="1">
      <alignment horizontal="center" readingOrder="0" shrinkToFit="0" vertical="top" wrapText="0"/>
    </xf>
    <xf borderId="6" fillId="4" fontId="10" numFmtId="0" xfId="0" applyAlignment="1" applyBorder="1" applyFont="1">
      <alignment horizontal="center" readingOrder="0"/>
    </xf>
    <xf borderId="14" fillId="4" fontId="5" numFmtId="166" xfId="0" applyAlignment="1" applyBorder="1" applyFont="1" applyNumberFormat="1">
      <alignment readingOrder="0" shrinkToFit="0" vertical="bottom" wrapText="0"/>
    </xf>
    <xf borderId="4" fillId="3" fontId="9" numFmtId="0" xfId="0" applyAlignment="1" applyBorder="1" applyFont="1">
      <alignment readingOrder="0"/>
    </xf>
    <xf borderId="16" fillId="0" fontId="4" numFmtId="0" xfId="0" applyAlignment="1" applyBorder="1" applyFont="1">
      <alignment horizontal="center" readingOrder="0" shrinkToFit="0" vertical="bottom" wrapText="0"/>
    </xf>
    <xf borderId="7" fillId="0" fontId="11" numFmtId="0" xfId="0" applyAlignment="1" applyBorder="1" applyFont="1">
      <alignment horizontal="center" readingOrder="0"/>
    </xf>
    <xf borderId="10" fillId="0" fontId="4" numFmtId="166" xfId="0" applyAlignment="1" applyBorder="1" applyFont="1" applyNumberFormat="1">
      <alignment readingOrder="0" shrinkToFit="0" vertical="bottom" wrapText="0"/>
    </xf>
    <xf borderId="17" fillId="0" fontId="4" numFmtId="0" xfId="0" applyAlignment="1" applyBorder="1" applyFont="1">
      <alignment horizontal="center" readingOrder="0" shrinkToFit="0" vertical="bottom" wrapText="0"/>
    </xf>
    <xf borderId="12" fillId="0" fontId="4" numFmtId="0" xfId="0" applyAlignment="1" applyBorder="1" applyFont="1">
      <alignment horizontal="center" readingOrder="0" shrinkToFit="0" vertical="bottom" wrapText="0"/>
    </xf>
    <xf borderId="5" fillId="0" fontId="4" numFmtId="166" xfId="0" applyAlignment="1" applyBorder="1" applyFont="1" applyNumberFormat="1">
      <alignment readingOrder="0" shrinkToFit="0" vertical="bottom" wrapText="0"/>
    </xf>
    <xf borderId="4" fillId="4" fontId="5" numFmtId="166" xfId="0" applyAlignment="1" applyBorder="1" applyFont="1" applyNumberFormat="1">
      <alignment readingOrder="0" shrinkToFit="0" vertical="bottom" wrapText="0"/>
    </xf>
    <xf borderId="7" fillId="0" fontId="9" numFmtId="0" xfId="0" applyAlignment="1" applyBorder="1" applyFont="1">
      <alignment horizontal="center" readingOrder="0"/>
    </xf>
    <xf borderId="9" fillId="5" fontId="4" numFmtId="166" xfId="0" applyAlignment="1" applyBorder="1" applyFont="1" applyNumberFormat="1">
      <alignment readingOrder="0" shrinkToFit="0" vertical="bottom" wrapText="0"/>
    </xf>
    <xf borderId="0" fillId="0" fontId="12" numFmtId="0" xfId="0" applyAlignment="1" applyFont="1">
      <alignment shrinkToFit="0" vertical="bottom" wrapText="0"/>
    </xf>
    <xf borderId="0" fillId="0" fontId="13" numFmtId="0" xfId="0" applyAlignment="1" applyFont="1">
      <alignment readingOrder="0" shrinkToFit="0" vertical="bottom" wrapText="0"/>
    </xf>
    <xf borderId="0" fillId="0" fontId="14" numFmtId="0" xfId="0" applyAlignment="1" applyFont="1">
      <alignment readingOrder="0" shrinkToFit="0" vertical="bottom" wrapText="0"/>
    </xf>
    <xf borderId="1" fillId="2" fontId="14" numFmtId="0" xfId="0" applyAlignment="1" applyBorder="1" applyFont="1">
      <alignment readingOrder="0" shrinkToFit="0" vertical="bottom" wrapText="0"/>
    </xf>
    <xf borderId="2" fillId="2" fontId="14" numFmtId="0" xfId="0" applyAlignment="1" applyBorder="1" applyFont="1">
      <alignment readingOrder="0" shrinkToFit="0" vertical="bottom" wrapText="0"/>
    </xf>
    <xf borderId="2" fillId="2" fontId="14" numFmtId="0" xfId="0" applyAlignment="1" applyBorder="1" applyFont="1">
      <alignment horizontal="center" readingOrder="0" shrinkToFit="0" vertical="bottom" wrapText="0"/>
    </xf>
    <xf borderId="3" fillId="0" fontId="12" numFmtId="0" xfId="0" applyAlignment="1" applyBorder="1" applyFont="1">
      <alignment horizontal="center" readingOrder="0" shrinkToFit="0" vertical="bottom" wrapText="0"/>
    </xf>
    <xf borderId="4" fillId="3" fontId="12" numFmtId="166" xfId="0" applyAlignment="1" applyBorder="1" applyFont="1" applyNumberFormat="1">
      <alignment readingOrder="0" shrinkToFit="0" vertical="bottom" wrapText="0"/>
    </xf>
    <xf borderId="5" fillId="3" fontId="12" numFmtId="166" xfId="0" applyAlignment="1" applyBorder="1" applyFont="1" applyNumberFormat="1">
      <alignment horizontal="center" readingOrder="0" shrinkToFit="0" vertical="bottom" wrapText="0"/>
    </xf>
    <xf borderId="5" fillId="3" fontId="15" numFmtId="166" xfId="0" applyAlignment="1" applyBorder="1" applyFont="1" applyNumberFormat="1">
      <alignment horizontal="right" readingOrder="0" shrinkToFit="0" vertical="bottom" wrapText="0"/>
    </xf>
    <xf borderId="5" fillId="3" fontId="12" numFmtId="166" xfId="0" applyAlignment="1" applyBorder="1" applyFont="1" applyNumberFormat="1">
      <alignment readingOrder="0" shrinkToFit="0" vertical="bottom" wrapText="0"/>
    </xf>
    <xf borderId="4" fillId="0" fontId="15" numFmtId="166" xfId="0" applyAlignment="1" applyBorder="1" applyFont="1" applyNumberFormat="1">
      <alignment readingOrder="0" shrinkToFit="0" vertical="bottom" wrapText="0"/>
    </xf>
    <xf borderId="4" fillId="0" fontId="15" numFmtId="166" xfId="0" applyAlignment="1" applyBorder="1" applyFont="1" applyNumberFormat="1">
      <alignment horizontal="center" readingOrder="0" shrinkToFit="0" vertical="bottom" wrapText="0"/>
    </xf>
    <xf borderId="4" fillId="3" fontId="15" numFmtId="166" xfId="0" applyAlignment="1" applyBorder="1" applyFont="1" applyNumberFormat="1">
      <alignment horizontal="right" readingOrder="0" shrinkToFit="0" vertical="bottom" wrapText="0"/>
    </xf>
    <xf borderId="4" fillId="3" fontId="12" numFmtId="166" xfId="0" applyAlignment="1" applyBorder="1" applyFont="1" applyNumberFormat="1">
      <alignment horizontal="left" readingOrder="0"/>
    </xf>
    <xf borderId="4" fillId="3" fontId="15" numFmtId="166" xfId="0" applyAlignment="1" applyBorder="1" applyFont="1" applyNumberFormat="1">
      <alignment horizontal="center" readingOrder="0" shrinkToFit="0" vertical="bottom" wrapText="0"/>
    </xf>
    <xf borderId="4" fillId="0" fontId="12" numFmtId="166" xfId="0" applyAlignment="1" applyBorder="1" applyFont="1" applyNumberFormat="1">
      <alignment readingOrder="0" shrinkToFit="0" vertical="bottom" wrapText="0"/>
    </xf>
    <xf borderId="4" fillId="0" fontId="15" numFmtId="166" xfId="0" applyAlignment="1" applyBorder="1" applyFont="1" applyNumberFormat="1">
      <alignment horizontal="right" readingOrder="0" shrinkToFit="0" vertical="bottom" wrapText="0"/>
    </xf>
    <xf borderId="4" fillId="0" fontId="12" numFmtId="166" xfId="0" applyAlignment="1" applyBorder="1" applyFont="1" applyNumberFormat="1">
      <alignment shrinkToFit="0" vertical="bottom" wrapText="0"/>
    </xf>
    <xf borderId="6" fillId="4" fontId="16" numFmtId="166" xfId="0" applyAlignment="1" applyBorder="1" applyFont="1" applyNumberFormat="1">
      <alignment horizontal="center" readingOrder="0" shrinkToFit="0" vertical="bottom" wrapText="0"/>
    </xf>
    <xf borderId="4" fillId="4" fontId="14" numFmtId="166" xfId="0" applyAlignment="1" applyBorder="1" applyFont="1" applyNumberFormat="1">
      <alignment readingOrder="0" shrinkToFit="0" vertical="bottom" wrapText="0"/>
    </xf>
    <xf borderId="7" fillId="4" fontId="16" numFmtId="166" xfId="0" applyAlignment="1" applyBorder="1" applyFont="1" applyNumberFormat="1">
      <alignment horizontal="center" readingOrder="0" shrinkToFit="0" vertical="bottom" wrapText="0"/>
    </xf>
    <xf borderId="0" fillId="0" fontId="17" numFmtId="0" xfId="0" applyAlignment="1" applyFont="1">
      <alignment readingOrder="0"/>
    </xf>
    <xf borderId="7" fillId="3" fontId="18" numFmtId="166" xfId="0" applyAlignment="1" applyBorder="1" applyFont="1" applyNumberFormat="1">
      <alignment horizontal="center" readingOrder="0"/>
    </xf>
    <xf borderId="0" fillId="0" fontId="12" numFmtId="166" xfId="0" applyAlignment="1" applyFont="1" applyNumberFormat="1">
      <alignment shrinkToFit="0" vertical="bottom" wrapText="0"/>
    </xf>
    <xf borderId="8" fillId="5" fontId="14" numFmtId="166" xfId="0" applyAlignment="1" applyBorder="1" applyFont="1" applyNumberFormat="1">
      <alignment readingOrder="0" shrinkToFit="0" vertical="bottom" wrapText="0"/>
    </xf>
    <xf borderId="9" fillId="5" fontId="12" numFmtId="166" xfId="0" applyAlignment="1" applyBorder="1" applyFont="1" applyNumberFormat="1">
      <alignment readingOrder="0" shrinkToFit="0" vertical="bottom" wrapText="0"/>
    </xf>
    <xf borderId="0" fillId="0" fontId="14" numFmtId="166" xfId="0" applyAlignment="1" applyFont="1" applyNumberFormat="1">
      <alignment readingOrder="0" shrinkToFit="0" vertical="bottom" wrapText="0"/>
    </xf>
    <xf borderId="1" fillId="2" fontId="14" numFmtId="166" xfId="0" applyAlignment="1" applyBorder="1" applyFont="1" applyNumberFormat="1">
      <alignment readingOrder="0" shrinkToFit="0" vertical="bottom" wrapText="0"/>
    </xf>
    <xf borderId="2" fillId="2" fontId="14" numFmtId="166" xfId="0" applyAlignment="1" applyBorder="1" applyFont="1" applyNumberFormat="1">
      <alignment readingOrder="0" shrinkToFit="0" vertical="bottom" wrapText="0"/>
    </xf>
    <xf borderId="2" fillId="2" fontId="14" numFmtId="166" xfId="0" applyAlignment="1" applyBorder="1" applyFont="1" applyNumberFormat="1">
      <alignment horizontal="center" readingOrder="0" shrinkToFit="0" vertical="bottom" wrapText="0"/>
    </xf>
    <xf borderId="4" fillId="0" fontId="18" numFmtId="166" xfId="0" applyAlignment="1" applyBorder="1" applyFont="1" applyNumberFormat="1">
      <alignment readingOrder="0" shrinkToFit="0" vertical="bottom" wrapText="0"/>
    </xf>
    <xf borderId="4" fillId="0" fontId="19" numFmtId="166" xfId="0" applyAlignment="1" applyBorder="1" applyFont="1" applyNumberFormat="1">
      <alignment readingOrder="0" shrinkToFit="0" vertical="bottom" wrapText="0"/>
    </xf>
    <xf borderId="0" fillId="3" fontId="20" numFmtId="166" xfId="0" applyAlignment="1" applyFont="1" applyNumberFormat="1">
      <alignment readingOrder="0"/>
    </xf>
    <xf borderId="0" fillId="0" fontId="13" numFmtId="166" xfId="0" applyAlignment="1" applyFont="1" applyNumberFormat="1">
      <alignment readingOrder="0" shrinkToFit="0" vertical="bottom" wrapText="0"/>
    </xf>
    <xf borderId="0" fillId="0" fontId="15" numFmtId="166" xfId="0" applyAlignment="1" applyFont="1" applyNumberFormat="1">
      <alignment readingOrder="0" shrinkToFit="0" vertical="bottom" wrapText="0"/>
    </xf>
    <xf borderId="12" fillId="6" fontId="21" numFmtId="0" xfId="0" applyAlignment="1" applyBorder="1" applyFill="1" applyFont="1">
      <alignment horizontal="center" vertical="bottom"/>
    </xf>
    <xf borderId="12" fillId="0" fontId="21" numFmtId="0" xfId="0" applyAlignment="1" applyBorder="1" applyFont="1">
      <alignment vertical="bottom"/>
    </xf>
    <xf borderId="12" fillId="0" fontId="21" numFmtId="0" xfId="0" applyAlignment="1" applyBorder="1" applyFont="1">
      <alignment horizontal="center" vertical="bottom"/>
    </xf>
    <xf borderId="12" fillId="0" fontId="21" numFmtId="166" xfId="0" applyAlignment="1" applyBorder="1" applyFont="1" applyNumberFormat="1">
      <alignment horizontal="right" vertical="bottom"/>
    </xf>
    <xf borderId="12" fillId="0" fontId="21" numFmtId="166" xfId="0" applyAlignment="1" applyBorder="1" applyFont="1" applyNumberFormat="1">
      <alignment horizontal="right" readingOrder="0" vertical="bottom"/>
    </xf>
    <xf borderId="12" fillId="7" fontId="21" numFmtId="0" xfId="0" applyAlignment="1" applyBorder="1" applyFill="1" applyFont="1">
      <alignment readingOrder="0" vertical="bottom"/>
    </xf>
    <xf borderId="12" fillId="7" fontId="21" numFmtId="0" xfId="0" applyAlignment="1" applyBorder="1" applyFont="1">
      <alignment horizontal="center" vertical="bottom"/>
    </xf>
    <xf borderId="12" fillId="7" fontId="21" numFmtId="166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9.13"/>
    <col customWidth="1" min="2" max="2" width="40.63"/>
    <col customWidth="1" min="4" max="4" width="16.13"/>
    <col customWidth="1" min="5" max="5" width="17.38"/>
    <col customWidth="1" min="6" max="6" width="26.38"/>
  </cols>
  <sheetData>
    <row r="2">
      <c r="A2" s="1" t="s">
        <v>0</v>
      </c>
      <c r="B2" s="1" t="s">
        <v>1</v>
      </c>
    </row>
    <row r="3">
      <c r="A3" s="1" t="s">
        <v>2</v>
      </c>
      <c r="B3" s="1" t="s">
        <v>3</v>
      </c>
    </row>
    <row r="4">
      <c r="A4" s="1"/>
      <c r="B4" s="1" t="s">
        <v>4</v>
      </c>
    </row>
    <row r="5">
      <c r="A5" s="1"/>
      <c r="B5" s="1" t="s">
        <v>5</v>
      </c>
    </row>
    <row r="6">
      <c r="A6" s="1"/>
      <c r="B6" s="1" t="s">
        <v>6</v>
      </c>
    </row>
    <row r="7">
      <c r="A7" s="1"/>
      <c r="B7" s="1" t="s">
        <v>7</v>
      </c>
    </row>
    <row r="8">
      <c r="A8" s="1"/>
      <c r="B8" s="1" t="s">
        <v>8</v>
      </c>
    </row>
    <row r="9">
      <c r="A9" s="1"/>
      <c r="B9" s="1" t="s">
        <v>9</v>
      </c>
    </row>
    <row r="10">
      <c r="A10" s="1"/>
      <c r="B10" s="1" t="s">
        <v>10</v>
      </c>
    </row>
    <row r="11">
      <c r="A11" s="1"/>
      <c r="B11" s="1" t="s">
        <v>11</v>
      </c>
    </row>
    <row r="12">
      <c r="A12" s="1"/>
      <c r="B12" s="1"/>
    </row>
    <row r="13">
      <c r="A13" s="1" t="s">
        <v>12</v>
      </c>
      <c r="B13" s="1" t="s">
        <v>13</v>
      </c>
    </row>
    <row r="15">
      <c r="A15" s="2"/>
      <c r="B15" s="2"/>
      <c r="C15" s="2"/>
      <c r="D15" s="2"/>
      <c r="E15" s="2"/>
      <c r="F15" s="2"/>
    </row>
    <row r="16">
      <c r="A16" s="3" t="s">
        <v>14</v>
      </c>
      <c r="B16" s="3" t="s">
        <v>15</v>
      </c>
      <c r="C16" s="4"/>
      <c r="D16" s="4"/>
      <c r="E16" s="4"/>
      <c r="F16" s="4"/>
    </row>
    <row r="17">
      <c r="A17" s="5" t="s">
        <v>16</v>
      </c>
      <c r="B17" s="5" t="s">
        <v>17</v>
      </c>
      <c r="C17" s="4"/>
      <c r="D17" s="4"/>
      <c r="E17" s="4"/>
      <c r="F17" s="4"/>
    </row>
    <row r="18">
      <c r="A18" s="6" t="s">
        <v>18</v>
      </c>
      <c r="B18" s="7" t="s">
        <v>19</v>
      </c>
      <c r="C18" s="8" t="s">
        <v>20</v>
      </c>
      <c r="D18" s="8" t="s">
        <v>21</v>
      </c>
      <c r="E18" s="8" t="s">
        <v>22</v>
      </c>
      <c r="F18" s="8" t="s">
        <v>23</v>
      </c>
    </row>
    <row r="19">
      <c r="A19" s="9">
        <v>1.0</v>
      </c>
      <c r="B19" s="10" t="s">
        <v>24</v>
      </c>
      <c r="C19" s="11" t="s">
        <v>25</v>
      </c>
      <c r="D19" s="12">
        <v>650000.0</v>
      </c>
      <c r="E19" s="11">
        <v>120000.0</v>
      </c>
      <c r="F19" s="13">
        <f t="shared" ref="F19:F21" si="1">D19*E19</f>
        <v>78000000000</v>
      </c>
    </row>
    <row r="20">
      <c r="A20" s="9">
        <v>2.0</v>
      </c>
      <c r="B20" s="14" t="s">
        <v>26</v>
      </c>
      <c r="C20" s="14" t="s">
        <v>27</v>
      </c>
      <c r="D20" s="15">
        <v>500.0</v>
      </c>
      <c r="E20" s="10">
        <v>120000.0</v>
      </c>
      <c r="F20" s="13">
        <f t="shared" si="1"/>
        <v>60000000</v>
      </c>
    </row>
    <row r="21">
      <c r="A21" s="16">
        <v>3.0</v>
      </c>
      <c r="B21" s="14" t="s">
        <v>28</v>
      </c>
      <c r="C21" s="14" t="s">
        <v>29</v>
      </c>
      <c r="D21" s="15">
        <v>4500.0</v>
      </c>
      <c r="E21" s="10">
        <v>10000.0</v>
      </c>
      <c r="F21" s="13">
        <f t="shared" si="1"/>
        <v>45000000</v>
      </c>
    </row>
    <row r="22">
      <c r="A22" s="17" t="s">
        <v>30</v>
      </c>
      <c r="B22" s="18"/>
      <c r="C22" s="18"/>
      <c r="D22" s="18"/>
      <c r="E22" s="19"/>
      <c r="F22" s="20">
        <f>SUM(F19:F21)</f>
        <v>78105000000</v>
      </c>
    </row>
    <row r="23">
      <c r="A23" s="21" t="s">
        <v>31</v>
      </c>
      <c r="B23" s="18"/>
      <c r="C23" s="18"/>
      <c r="D23" s="18"/>
      <c r="E23" s="19"/>
      <c r="F23" s="22">
        <f>SUM(F81+F20+F94)</f>
        <v>198194198209</v>
      </c>
    </row>
    <row r="24">
      <c r="A24" s="23">
        <v>4.0</v>
      </c>
      <c r="B24" s="24" t="s">
        <v>32</v>
      </c>
      <c r="C24" s="18"/>
      <c r="D24" s="18"/>
      <c r="E24" s="19"/>
      <c r="F24" s="25">
        <f>1/2*F22</f>
        <v>39052500000</v>
      </c>
    </row>
    <row r="25">
      <c r="A25" s="23">
        <v>5.0</v>
      </c>
      <c r="B25" s="24" t="s">
        <v>33</v>
      </c>
      <c r="C25" s="18"/>
      <c r="D25" s="18"/>
      <c r="E25" s="19"/>
      <c r="F25" s="26">
        <f>1/330*F22</f>
        <v>236681818.2</v>
      </c>
    </row>
    <row r="26">
      <c r="A26" s="23">
        <v>6.0</v>
      </c>
      <c r="B26" s="24" t="s">
        <v>34</v>
      </c>
      <c r="C26" s="18"/>
      <c r="D26" s="18"/>
      <c r="E26" s="19"/>
      <c r="F26" s="26">
        <f>1/12*F23</f>
        <v>16516183184</v>
      </c>
    </row>
    <row r="27">
      <c r="A27" s="23">
        <v>7.0</v>
      </c>
      <c r="B27" s="24" t="s">
        <v>35</v>
      </c>
      <c r="C27" s="18"/>
      <c r="D27" s="18"/>
      <c r="E27" s="19"/>
      <c r="F27" s="25">
        <f>1/12*F75</f>
        <v>325000000000</v>
      </c>
    </row>
    <row r="28">
      <c r="A28" s="23">
        <v>8.0</v>
      </c>
      <c r="B28" s="24" t="s">
        <v>36</v>
      </c>
      <c r="C28" s="18"/>
      <c r="D28" s="18"/>
      <c r="E28" s="19"/>
      <c r="F28" s="26">
        <f>1/12*F23</f>
        <v>16516183184</v>
      </c>
    </row>
    <row r="29">
      <c r="A29" s="4"/>
      <c r="B29" s="4"/>
      <c r="C29" s="4"/>
      <c r="D29" s="4"/>
      <c r="E29" s="27" t="s">
        <v>37</v>
      </c>
      <c r="F29" s="28">
        <f>SUM(F24:F28)</f>
        <v>397321548186</v>
      </c>
    </row>
    <row r="30">
      <c r="A30" s="5" t="s">
        <v>38</v>
      </c>
      <c r="B30" s="5" t="s">
        <v>39</v>
      </c>
      <c r="C30" s="4"/>
      <c r="D30" s="4"/>
      <c r="E30" s="4"/>
      <c r="F30" s="4"/>
    </row>
    <row r="31">
      <c r="A31" s="6" t="s">
        <v>18</v>
      </c>
      <c r="B31" s="29" t="s">
        <v>19</v>
      </c>
      <c r="C31" s="8" t="s">
        <v>20</v>
      </c>
      <c r="D31" s="8" t="s">
        <v>21</v>
      </c>
      <c r="E31" s="8" t="s">
        <v>22</v>
      </c>
      <c r="F31" s="8" t="s">
        <v>23</v>
      </c>
    </row>
    <row r="32">
      <c r="A32" s="30">
        <v>1.0</v>
      </c>
      <c r="B32" s="31" t="s">
        <v>40</v>
      </c>
      <c r="C32" s="14" t="s">
        <v>27</v>
      </c>
      <c r="D32" s="32">
        <v>3.0E7</v>
      </c>
      <c r="E32" s="11">
        <v>3.0</v>
      </c>
      <c r="F32" s="33">
        <f t="shared" ref="F32:F40" si="2">D32*E32</f>
        <v>90000000</v>
      </c>
    </row>
    <row r="33">
      <c r="A33" s="30">
        <v>2.0</v>
      </c>
      <c r="B33" s="31" t="s">
        <v>41</v>
      </c>
      <c r="C33" s="14" t="s">
        <v>27</v>
      </c>
      <c r="D33" s="32">
        <v>7000000.0</v>
      </c>
      <c r="E33" s="10">
        <v>3.0</v>
      </c>
      <c r="F33" s="33">
        <f t="shared" si="2"/>
        <v>21000000</v>
      </c>
    </row>
    <row r="34">
      <c r="A34" s="30">
        <v>3.0</v>
      </c>
      <c r="B34" s="31" t="s">
        <v>42</v>
      </c>
      <c r="C34" s="14" t="s">
        <v>27</v>
      </c>
      <c r="D34" s="32">
        <v>1.0E7</v>
      </c>
      <c r="E34" s="10">
        <v>2.0</v>
      </c>
      <c r="F34" s="33">
        <f t="shared" si="2"/>
        <v>20000000</v>
      </c>
    </row>
    <row r="35">
      <c r="A35" s="30">
        <v>4.0</v>
      </c>
      <c r="B35" s="31" t="s">
        <v>43</v>
      </c>
      <c r="C35" s="14" t="s">
        <v>27</v>
      </c>
      <c r="D35" s="32">
        <v>2.5E7</v>
      </c>
      <c r="E35" s="10">
        <v>2.0</v>
      </c>
      <c r="F35" s="33">
        <f t="shared" si="2"/>
        <v>50000000</v>
      </c>
    </row>
    <row r="36">
      <c r="A36" s="34">
        <v>5.0</v>
      </c>
      <c r="B36" s="35" t="s">
        <v>44</v>
      </c>
      <c r="C36" s="10" t="s">
        <v>27</v>
      </c>
      <c r="D36" s="36">
        <v>2.304E7</v>
      </c>
      <c r="E36" s="10">
        <v>3.0</v>
      </c>
      <c r="F36" s="33">
        <f t="shared" si="2"/>
        <v>69120000</v>
      </c>
    </row>
    <row r="37">
      <c r="A37" s="37">
        <v>6.0</v>
      </c>
      <c r="B37" s="35" t="s">
        <v>45</v>
      </c>
      <c r="C37" s="10" t="s">
        <v>27</v>
      </c>
      <c r="D37" s="38">
        <v>6240000.0</v>
      </c>
      <c r="E37" s="39">
        <v>2.0</v>
      </c>
      <c r="F37" s="33">
        <f t="shared" si="2"/>
        <v>12480000</v>
      </c>
    </row>
    <row r="38">
      <c r="A38" s="37">
        <v>7.0</v>
      </c>
      <c r="B38" s="35" t="s">
        <v>46</v>
      </c>
      <c r="C38" s="10" t="s">
        <v>27</v>
      </c>
      <c r="D38" s="33">
        <v>2.245E7</v>
      </c>
      <c r="E38" s="39">
        <v>2.0</v>
      </c>
      <c r="F38" s="33">
        <f t="shared" si="2"/>
        <v>44900000</v>
      </c>
    </row>
    <row r="39">
      <c r="A39" s="37">
        <v>8.0</v>
      </c>
      <c r="B39" s="35" t="s">
        <v>47</v>
      </c>
      <c r="C39" s="10" t="s">
        <v>27</v>
      </c>
      <c r="D39" s="33">
        <v>1.7568E7</v>
      </c>
      <c r="E39" s="39">
        <v>3.0</v>
      </c>
      <c r="F39" s="33">
        <f t="shared" si="2"/>
        <v>52704000</v>
      </c>
    </row>
    <row r="40">
      <c r="A40" s="37">
        <v>9.0</v>
      </c>
      <c r="B40" s="35" t="s">
        <v>48</v>
      </c>
      <c r="C40" s="10" t="s">
        <v>27</v>
      </c>
      <c r="D40" s="33">
        <v>3.1E7</v>
      </c>
      <c r="E40" s="39">
        <v>2.0</v>
      </c>
      <c r="F40" s="33">
        <f t="shared" si="2"/>
        <v>62000000</v>
      </c>
    </row>
    <row r="41">
      <c r="A41" s="40" t="s">
        <v>49</v>
      </c>
      <c r="B41" s="18"/>
      <c r="C41" s="18"/>
      <c r="D41" s="18"/>
      <c r="E41" s="19"/>
      <c r="F41" s="41">
        <f>SUM(F32:F40)</f>
        <v>422204000</v>
      </c>
    </row>
    <row r="42">
      <c r="A42" s="9">
        <v>10.0</v>
      </c>
      <c r="B42" s="42" t="s">
        <v>50</v>
      </c>
      <c r="C42" s="10" t="s">
        <v>27</v>
      </c>
      <c r="D42" s="33">
        <v>3768000.0</v>
      </c>
      <c r="E42" s="10">
        <v>2.0</v>
      </c>
      <c r="F42" s="38">
        <f t="shared" ref="F42:F46" si="3">D42*E42</f>
        <v>7536000</v>
      </c>
    </row>
    <row r="43">
      <c r="A43" s="9">
        <v>11.0</v>
      </c>
      <c r="B43" s="42" t="s">
        <v>51</v>
      </c>
      <c r="C43" s="10" t="s">
        <v>27</v>
      </c>
      <c r="D43" s="33">
        <v>2438000.0</v>
      </c>
      <c r="E43" s="10">
        <v>10.0</v>
      </c>
      <c r="F43" s="38">
        <f t="shared" si="3"/>
        <v>24380000</v>
      </c>
    </row>
    <row r="44">
      <c r="A44" s="9">
        <v>12.0</v>
      </c>
      <c r="B44" s="42" t="s">
        <v>52</v>
      </c>
      <c r="C44" s="10" t="s">
        <v>27</v>
      </c>
      <c r="D44" s="33">
        <v>1300000.0</v>
      </c>
      <c r="E44" s="10">
        <v>1.0</v>
      </c>
      <c r="F44" s="38">
        <f t="shared" si="3"/>
        <v>1300000</v>
      </c>
    </row>
    <row r="45">
      <c r="A45" s="9">
        <v>13.0</v>
      </c>
      <c r="B45" s="42" t="s">
        <v>53</v>
      </c>
      <c r="C45" s="10" t="s">
        <v>27</v>
      </c>
      <c r="D45" s="33">
        <v>5600000.0</v>
      </c>
      <c r="E45" s="10">
        <v>1.0</v>
      </c>
      <c r="F45" s="38">
        <f t="shared" si="3"/>
        <v>5600000</v>
      </c>
    </row>
    <row r="46">
      <c r="A46" s="9">
        <v>14.0</v>
      </c>
      <c r="B46" s="42" t="s">
        <v>54</v>
      </c>
      <c r="C46" s="10" t="s">
        <v>27</v>
      </c>
      <c r="D46" s="33">
        <v>2400000.0</v>
      </c>
      <c r="E46" s="39">
        <v>1.0</v>
      </c>
      <c r="F46" s="38">
        <f t="shared" si="3"/>
        <v>2400000</v>
      </c>
    </row>
    <row r="47">
      <c r="A47" s="21" t="s">
        <v>55</v>
      </c>
      <c r="B47" s="18"/>
      <c r="C47" s="18"/>
      <c r="D47" s="18"/>
      <c r="E47" s="19"/>
      <c r="F47" s="41">
        <f>SUM(F42:F46)</f>
        <v>41216000</v>
      </c>
    </row>
    <row r="48">
      <c r="A48" s="43">
        <v>15.0</v>
      </c>
      <c r="B48" s="44" t="s">
        <v>56</v>
      </c>
      <c r="C48" s="18"/>
      <c r="D48" s="18"/>
      <c r="E48" s="19"/>
      <c r="F48" s="45">
        <f>SUM(F41+F47)</f>
        <v>463420000</v>
      </c>
    </row>
    <row r="49">
      <c r="A49" s="46">
        <v>16.0</v>
      </c>
      <c r="B49" s="44" t="s">
        <v>57</v>
      </c>
      <c r="C49" s="18"/>
      <c r="D49" s="18"/>
      <c r="E49" s="19"/>
      <c r="F49" s="45">
        <f>12%*F48</f>
        <v>55610400</v>
      </c>
    </row>
    <row r="50">
      <c r="A50" s="46">
        <v>17.0</v>
      </c>
      <c r="B50" s="44" t="s">
        <v>58</v>
      </c>
      <c r="C50" s="18"/>
      <c r="D50" s="18"/>
      <c r="E50" s="19"/>
      <c r="F50" s="45">
        <f>20%*F40</f>
        <v>12400000</v>
      </c>
    </row>
    <row r="51">
      <c r="A51" s="46">
        <v>18.0</v>
      </c>
      <c r="B51" s="44" t="s">
        <v>59</v>
      </c>
      <c r="C51" s="18"/>
      <c r="D51" s="18"/>
      <c r="E51" s="19"/>
      <c r="F51" s="45">
        <f>55%*F41</f>
        <v>232212200</v>
      </c>
    </row>
    <row r="52">
      <c r="A52" s="46">
        <v>19.0</v>
      </c>
      <c r="B52" s="44" t="s">
        <v>60</v>
      </c>
      <c r="C52" s="18"/>
      <c r="D52" s="18"/>
      <c r="E52" s="19"/>
      <c r="F52" s="45">
        <f>70%*F41</f>
        <v>295542800</v>
      </c>
    </row>
    <row r="53">
      <c r="A53" s="46">
        <v>20.0</v>
      </c>
      <c r="B53" s="44" t="s">
        <v>61</v>
      </c>
      <c r="C53" s="18"/>
      <c r="D53" s="18"/>
      <c r="E53" s="19"/>
      <c r="F53" s="45">
        <f>30%*F41</f>
        <v>126661200</v>
      </c>
    </row>
    <row r="54">
      <c r="A54" s="46">
        <v>21.0</v>
      </c>
      <c r="B54" s="44" t="s">
        <v>62</v>
      </c>
      <c r="C54" s="18"/>
      <c r="D54" s="18"/>
      <c r="E54" s="19"/>
      <c r="F54" s="45">
        <f>9%*F41</f>
        <v>37998360</v>
      </c>
    </row>
    <row r="55">
      <c r="A55" s="46">
        <v>22.0</v>
      </c>
      <c r="B55" s="44" t="s">
        <v>63</v>
      </c>
      <c r="C55" s="18"/>
      <c r="D55" s="18"/>
      <c r="E55" s="19"/>
      <c r="F55" s="45">
        <f>15%*F41</f>
        <v>63330600</v>
      </c>
    </row>
    <row r="56">
      <c r="A56" s="46">
        <v>23.0</v>
      </c>
      <c r="B56" s="44" t="s">
        <v>64</v>
      </c>
      <c r="C56" s="18"/>
      <c r="D56" s="18"/>
      <c r="E56" s="19"/>
      <c r="F56" s="45">
        <f>45%*F41</f>
        <v>189991800</v>
      </c>
    </row>
    <row r="57">
      <c r="A57" s="46">
        <v>24.0</v>
      </c>
      <c r="B57" s="44" t="s">
        <v>65</v>
      </c>
      <c r="C57" s="18"/>
      <c r="D57" s="18"/>
      <c r="E57" s="19"/>
      <c r="F57" s="45">
        <f>20%*F41</f>
        <v>84440800</v>
      </c>
    </row>
    <row r="58">
      <c r="A58" s="47">
        <v>25.0</v>
      </c>
      <c r="B58" s="44" t="s">
        <v>66</v>
      </c>
      <c r="C58" s="18"/>
      <c r="D58" s="18"/>
      <c r="E58" s="19"/>
      <c r="F58" s="48">
        <f>18%*F47+12%*F47</f>
        <v>12364800</v>
      </c>
    </row>
    <row r="59">
      <c r="A59" s="21" t="s">
        <v>67</v>
      </c>
      <c r="B59" s="18"/>
      <c r="C59" s="18"/>
      <c r="D59" s="18"/>
      <c r="E59" s="19"/>
      <c r="F59" s="49">
        <f>SUM(F48:F58)</f>
        <v>1573972960</v>
      </c>
    </row>
    <row r="60">
      <c r="A60" s="23">
        <v>26.0</v>
      </c>
      <c r="B60" s="50" t="s">
        <v>68</v>
      </c>
      <c r="C60" s="18"/>
      <c r="D60" s="18"/>
      <c r="E60" s="19"/>
      <c r="F60" s="32">
        <f>18%*F59</f>
        <v>283315132.8</v>
      </c>
    </row>
    <row r="61">
      <c r="A61" s="40" t="s">
        <v>69</v>
      </c>
      <c r="B61" s="18"/>
      <c r="C61" s="18"/>
      <c r="D61" s="18"/>
      <c r="E61" s="19"/>
      <c r="F61" s="49">
        <f>SUM(F59:F60)</f>
        <v>1857288093</v>
      </c>
    </row>
    <row r="62">
      <c r="A62" s="23">
        <v>27.0</v>
      </c>
      <c r="B62" s="50" t="s">
        <v>70</v>
      </c>
      <c r="C62" s="18"/>
      <c r="D62" s="18"/>
      <c r="E62" s="19"/>
      <c r="F62" s="32">
        <f>8%*F61</f>
        <v>148583047.4</v>
      </c>
    </row>
    <row r="63">
      <c r="A63" s="23">
        <v>28.0</v>
      </c>
      <c r="B63" s="50" t="s">
        <v>71</v>
      </c>
      <c r="C63" s="18"/>
      <c r="D63" s="18"/>
      <c r="E63" s="19"/>
      <c r="F63" s="32">
        <f>25%*F61</f>
        <v>464322023.2</v>
      </c>
    </row>
    <row r="64">
      <c r="A64" s="4"/>
      <c r="B64" s="4"/>
      <c r="C64" s="4"/>
      <c r="D64" s="4"/>
      <c r="E64" s="27" t="s">
        <v>37</v>
      </c>
      <c r="F64" s="51">
        <f>SUM(F61:F63)</f>
        <v>2470193163</v>
      </c>
    </row>
    <row r="65">
      <c r="A65" s="52"/>
      <c r="B65" s="52"/>
      <c r="C65" s="52"/>
      <c r="D65" s="52"/>
      <c r="E65" s="52"/>
      <c r="F65" s="52"/>
    </row>
    <row r="66">
      <c r="A66" s="53" t="s">
        <v>72</v>
      </c>
      <c r="B66" s="53" t="s">
        <v>73</v>
      </c>
      <c r="C66" s="52"/>
      <c r="D66" s="52"/>
      <c r="E66" s="52"/>
      <c r="F66" s="52"/>
    </row>
    <row r="67">
      <c r="A67" s="54" t="s">
        <v>16</v>
      </c>
      <c r="B67" s="54" t="s">
        <v>74</v>
      </c>
      <c r="C67" s="52"/>
      <c r="D67" s="52"/>
      <c r="E67" s="52"/>
      <c r="F67" s="52"/>
    </row>
    <row r="68">
      <c r="A68" s="55" t="s">
        <v>18</v>
      </c>
      <c r="B68" s="56" t="s">
        <v>19</v>
      </c>
      <c r="C68" s="57" t="s">
        <v>20</v>
      </c>
      <c r="D68" s="57" t="s">
        <v>21</v>
      </c>
      <c r="E68" s="57" t="s">
        <v>22</v>
      </c>
      <c r="F68" s="57" t="s">
        <v>23</v>
      </c>
    </row>
    <row r="69">
      <c r="A69" s="58">
        <v>1.0</v>
      </c>
      <c r="B69" s="59" t="s">
        <v>24</v>
      </c>
      <c r="C69" s="60" t="s">
        <v>75</v>
      </c>
      <c r="D69" s="61">
        <v>650000.0</v>
      </c>
      <c r="E69" s="61">
        <v>120000.0</v>
      </c>
      <c r="F69" s="62">
        <f t="shared" ref="F69:F72" si="4">D69*E69</f>
        <v>78000000000</v>
      </c>
    </row>
    <row r="70">
      <c r="A70" s="58">
        <v>2.0</v>
      </c>
      <c r="B70" s="63" t="s">
        <v>26</v>
      </c>
      <c r="C70" s="64" t="s">
        <v>27</v>
      </c>
      <c r="D70" s="65">
        <v>500.0</v>
      </c>
      <c r="E70" s="65">
        <v>120000.0</v>
      </c>
      <c r="F70" s="62">
        <f t="shared" si="4"/>
        <v>60000000</v>
      </c>
    </row>
    <row r="71">
      <c r="A71" s="58">
        <v>3.0</v>
      </c>
      <c r="B71" s="63" t="s">
        <v>28</v>
      </c>
      <c r="C71" s="64" t="s">
        <v>29</v>
      </c>
      <c r="D71" s="65">
        <v>4500.0</v>
      </c>
      <c r="E71" s="65">
        <v>10000.0</v>
      </c>
      <c r="F71" s="62">
        <f t="shared" si="4"/>
        <v>45000000</v>
      </c>
    </row>
    <row r="72">
      <c r="A72" s="58">
        <v>4.0</v>
      </c>
      <c r="B72" s="66" t="s">
        <v>76</v>
      </c>
      <c r="C72" s="67" t="s">
        <v>77</v>
      </c>
      <c r="D72" s="65">
        <v>1500.0</v>
      </c>
      <c r="E72" s="65">
        <v>4.8E7</v>
      </c>
      <c r="F72" s="68">
        <f t="shared" si="4"/>
        <v>72000000000</v>
      </c>
    </row>
    <row r="73">
      <c r="A73" s="58">
        <v>5.0</v>
      </c>
      <c r="B73" s="66" t="s">
        <v>78</v>
      </c>
      <c r="C73" s="64" t="s">
        <v>79</v>
      </c>
      <c r="D73" s="69">
        <v>12550.0</v>
      </c>
      <c r="E73" s="69">
        <v>1000.0</v>
      </c>
      <c r="F73" s="70">
        <f>(E73*D73)</f>
        <v>12550000</v>
      </c>
    </row>
    <row r="74">
      <c r="A74" s="71" t="s">
        <v>80</v>
      </c>
      <c r="B74" s="18"/>
      <c r="C74" s="18"/>
      <c r="D74" s="18"/>
      <c r="E74" s="19"/>
      <c r="F74" s="72">
        <f>SUM(F69:F73)</f>
        <v>150117550000</v>
      </c>
    </row>
    <row r="75">
      <c r="A75" s="73" t="s">
        <v>81</v>
      </c>
      <c r="B75" s="18"/>
      <c r="C75" s="18"/>
      <c r="D75" s="18"/>
      <c r="E75" s="19"/>
      <c r="F75" s="72">
        <f>120000000*32500</f>
        <v>3900000000000</v>
      </c>
      <c r="G75" s="74"/>
    </row>
    <row r="76">
      <c r="A76" s="58">
        <v>7.0</v>
      </c>
      <c r="B76" s="75" t="s">
        <v>82</v>
      </c>
      <c r="C76" s="18"/>
      <c r="D76" s="18"/>
      <c r="E76" s="19"/>
      <c r="F76" s="63">
        <f>E134</f>
        <v>1911300000</v>
      </c>
      <c r="G76" s="74"/>
    </row>
    <row r="77">
      <c r="A77" s="58">
        <v>8.0</v>
      </c>
      <c r="B77" s="75" t="s">
        <v>83</v>
      </c>
      <c r="C77" s="18"/>
      <c r="D77" s="18"/>
      <c r="E77" s="19"/>
      <c r="F77" s="68">
        <f>15%*F76</f>
        <v>286695000</v>
      </c>
    </row>
    <row r="78">
      <c r="A78" s="58">
        <v>9.0</v>
      </c>
      <c r="B78" s="75" t="s">
        <v>84</v>
      </c>
      <c r="C78" s="18"/>
      <c r="D78" s="18"/>
      <c r="E78" s="19"/>
      <c r="F78" s="68">
        <f>6%*F64</f>
        <v>148211589.8</v>
      </c>
    </row>
    <row r="79">
      <c r="A79" s="58">
        <v>10.0</v>
      </c>
      <c r="B79" s="75" t="s">
        <v>85</v>
      </c>
      <c r="C79" s="18"/>
      <c r="D79" s="18"/>
      <c r="E79" s="19"/>
      <c r="F79" s="68">
        <f>15%*F78</f>
        <v>22231738.47</v>
      </c>
    </row>
    <row r="80">
      <c r="A80" s="58">
        <v>11.0</v>
      </c>
      <c r="B80" s="75" t="s">
        <v>86</v>
      </c>
      <c r="C80" s="18"/>
      <c r="D80" s="18"/>
      <c r="E80" s="19"/>
      <c r="F80" s="68">
        <f>5%*F75</f>
        <v>195000000000</v>
      </c>
    </row>
    <row r="81">
      <c r="A81" s="76"/>
      <c r="B81" s="76"/>
      <c r="C81" s="76"/>
      <c r="D81" s="76"/>
      <c r="E81" s="77" t="s">
        <v>37</v>
      </c>
      <c r="F81" s="78">
        <f>SUM(F76:F80)</f>
        <v>197368438328</v>
      </c>
    </row>
    <row r="82">
      <c r="A82" s="79" t="s">
        <v>38</v>
      </c>
      <c r="B82" s="79" t="s">
        <v>87</v>
      </c>
      <c r="C82" s="76"/>
      <c r="D82" s="76"/>
      <c r="E82" s="76"/>
      <c r="F82" s="76"/>
    </row>
    <row r="83">
      <c r="A83" s="80" t="s">
        <v>18</v>
      </c>
      <c r="B83" s="81" t="s">
        <v>19</v>
      </c>
      <c r="C83" s="82" t="s">
        <v>20</v>
      </c>
      <c r="D83" s="82" t="s">
        <v>21</v>
      </c>
      <c r="E83" s="82" t="s">
        <v>22</v>
      </c>
      <c r="F83" s="82" t="s">
        <v>23</v>
      </c>
    </row>
    <row r="84">
      <c r="A84" s="58">
        <v>1.0</v>
      </c>
      <c r="B84" s="83" t="s">
        <v>88</v>
      </c>
      <c r="C84" s="70"/>
      <c r="D84" s="70"/>
      <c r="E84" s="70"/>
      <c r="F84" s="68">
        <f>15%*F76</f>
        <v>286695000</v>
      </c>
    </row>
    <row r="85">
      <c r="A85" s="58">
        <v>2.0</v>
      </c>
      <c r="B85" s="83" t="s">
        <v>89</v>
      </c>
      <c r="C85" s="70"/>
      <c r="D85" s="70"/>
      <c r="E85" s="70"/>
      <c r="F85" s="68">
        <f>10%*F76</f>
        <v>191130000</v>
      </c>
    </row>
    <row r="86">
      <c r="A86" s="58">
        <v>3.0</v>
      </c>
      <c r="B86" s="83" t="s">
        <v>90</v>
      </c>
      <c r="C86" s="70"/>
      <c r="D86" s="70"/>
      <c r="E86" s="70"/>
      <c r="F86" s="68">
        <f>50%*F76</f>
        <v>955650000</v>
      </c>
    </row>
    <row r="87">
      <c r="A87" s="58">
        <v>4.0</v>
      </c>
      <c r="B87" s="83" t="s">
        <v>91</v>
      </c>
      <c r="C87" s="70"/>
      <c r="D87" s="70"/>
      <c r="E87" s="70"/>
      <c r="F87" s="68">
        <f>3%*F75</f>
        <v>117000000000</v>
      </c>
    </row>
    <row r="88">
      <c r="A88" s="76"/>
      <c r="B88" s="76"/>
      <c r="C88" s="76"/>
      <c r="D88" s="76"/>
      <c r="E88" s="77" t="s">
        <v>37</v>
      </c>
      <c r="F88" s="78">
        <f>SUM(F84:F87)</f>
        <v>118433475000</v>
      </c>
    </row>
    <row r="89">
      <c r="A89" s="79" t="s">
        <v>92</v>
      </c>
      <c r="B89" s="79" t="s">
        <v>93</v>
      </c>
      <c r="C89" s="76"/>
      <c r="D89" s="76"/>
      <c r="E89" s="76"/>
      <c r="F89" s="76"/>
    </row>
    <row r="90">
      <c r="A90" s="80" t="s">
        <v>18</v>
      </c>
      <c r="B90" s="81" t="s">
        <v>19</v>
      </c>
      <c r="C90" s="82" t="s">
        <v>20</v>
      </c>
      <c r="D90" s="82" t="s">
        <v>21</v>
      </c>
      <c r="E90" s="82" t="s">
        <v>22</v>
      </c>
      <c r="F90" s="82" t="s">
        <v>23</v>
      </c>
    </row>
    <row r="91">
      <c r="A91" s="58">
        <v>1.0</v>
      </c>
      <c r="B91" s="83" t="s">
        <v>94</v>
      </c>
      <c r="C91" s="70"/>
      <c r="D91" s="70"/>
      <c r="E91" s="70"/>
      <c r="F91" s="63">
        <f>10%*F64</f>
        <v>247019316.3</v>
      </c>
    </row>
    <row r="92">
      <c r="A92" s="58">
        <v>2.0</v>
      </c>
      <c r="B92" s="84" t="s">
        <v>95</v>
      </c>
      <c r="C92" s="70"/>
      <c r="D92" s="70"/>
      <c r="E92" s="70"/>
      <c r="F92" s="63">
        <f>0.2*F64</f>
        <v>494038632.7</v>
      </c>
    </row>
    <row r="93">
      <c r="A93" s="58">
        <v>3.0</v>
      </c>
      <c r="B93" s="83" t="s">
        <v>96</v>
      </c>
      <c r="C93" s="70"/>
      <c r="D93" s="70"/>
      <c r="E93" s="70"/>
      <c r="F93" s="85">
        <f>1%*F64</f>
        <v>24701931.63</v>
      </c>
    </row>
    <row r="94">
      <c r="A94" s="76"/>
      <c r="B94" s="76"/>
      <c r="C94" s="76"/>
      <c r="D94" s="76"/>
      <c r="E94" s="77" t="s">
        <v>37</v>
      </c>
      <c r="F94" s="78">
        <f>SUM(F91:F93)</f>
        <v>765759880.7</v>
      </c>
    </row>
    <row r="95">
      <c r="A95" s="76"/>
      <c r="B95" s="76"/>
      <c r="C95" s="76"/>
      <c r="D95" s="76"/>
      <c r="E95" s="76"/>
      <c r="F95" s="76"/>
    </row>
    <row r="96">
      <c r="A96" s="86" t="s">
        <v>97</v>
      </c>
      <c r="B96" s="86" t="s">
        <v>98</v>
      </c>
      <c r="C96" s="76"/>
      <c r="D96" s="76"/>
      <c r="E96" s="76"/>
      <c r="F96" s="76"/>
    </row>
    <row r="97">
      <c r="A97" s="80" t="s">
        <v>18</v>
      </c>
      <c r="B97" s="81" t="s">
        <v>19</v>
      </c>
      <c r="C97" s="82" t="s">
        <v>20</v>
      </c>
      <c r="D97" s="82" t="s">
        <v>21</v>
      </c>
      <c r="E97" s="82" t="s">
        <v>22</v>
      </c>
      <c r="F97" s="82" t="s">
        <v>23</v>
      </c>
    </row>
    <row r="98">
      <c r="A98" s="58">
        <v>1.0</v>
      </c>
      <c r="B98" s="83" t="s">
        <v>99</v>
      </c>
      <c r="C98" s="63" t="s">
        <v>100</v>
      </c>
      <c r="D98" s="63"/>
      <c r="E98" s="63"/>
      <c r="F98" s="68">
        <f>3%*F75</f>
        <v>117000000000</v>
      </c>
    </row>
    <row r="99">
      <c r="A99" s="58">
        <v>2.0</v>
      </c>
      <c r="B99" s="83" t="s">
        <v>101</v>
      </c>
      <c r="C99" s="63" t="s">
        <v>100</v>
      </c>
      <c r="D99" s="70"/>
      <c r="E99" s="63"/>
      <c r="F99" s="68">
        <f>3%*F75</f>
        <v>117000000000</v>
      </c>
    </row>
    <row r="100">
      <c r="A100" s="58">
        <v>3.0</v>
      </c>
      <c r="B100" s="83" t="s">
        <v>102</v>
      </c>
      <c r="C100" s="63" t="s">
        <v>100</v>
      </c>
      <c r="D100" s="70"/>
      <c r="E100" s="70"/>
      <c r="F100" s="68">
        <f>3%*F75</f>
        <v>117000000000</v>
      </c>
    </row>
    <row r="101">
      <c r="A101" s="58">
        <v>4.0</v>
      </c>
      <c r="B101" s="83" t="s">
        <v>103</v>
      </c>
      <c r="C101" s="63" t="s">
        <v>100</v>
      </c>
      <c r="D101" s="70"/>
      <c r="E101" s="70"/>
      <c r="F101" s="68">
        <f>10%*250000000000</f>
        <v>25000000000</v>
      </c>
    </row>
    <row r="102">
      <c r="A102" s="76"/>
      <c r="B102" s="76"/>
      <c r="C102" s="76"/>
      <c r="D102" s="87"/>
      <c r="E102" s="77" t="s">
        <v>37</v>
      </c>
      <c r="F102" s="78">
        <f>SUM(F97:F101)</f>
        <v>376000000000</v>
      </c>
    </row>
    <row r="103">
      <c r="B103" s="88" t="s">
        <v>104</v>
      </c>
      <c r="C103" s="88" t="s">
        <v>105</v>
      </c>
      <c r="D103" s="88" t="s">
        <v>106</v>
      </c>
      <c r="E103" s="88" t="s">
        <v>23</v>
      </c>
    </row>
    <row r="104">
      <c r="B104" s="89" t="s">
        <v>107</v>
      </c>
      <c r="C104" s="90">
        <v>1.0</v>
      </c>
      <c r="D104" s="91">
        <v>4.0E7</v>
      </c>
      <c r="E104" s="91">
        <f t="shared" ref="E104:E133" si="5">D104*C104</f>
        <v>40000000</v>
      </c>
    </row>
    <row r="105">
      <c r="B105" s="89" t="s">
        <v>108</v>
      </c>
      <c r="C105" s="90">
        <v>1.0</v>
      </c>
      <c r="D105" s="91">
        <v>4.0E7</v>
      </c>
      <c r="E105" s="91">
        <f t="shared" si="5"/>
        <v>40000000</v>
      </c>
    </row>
    <row r="106">
      <c r="B106" s="89" t="s">
        <v>109</v>
      </c>
      <c r="C106" s="90">
        <v>2.0</v>
      </c>
      <c r="D106" s="91">
        <v>8000000.0</v>
      </c>
      <c r="E106" s="91">
        <f t="shared" si="5"/>
        <v>16000000</v>
      </c>
    </row>
    <row r="107">
      <c r="B107" s="89" t="s">
        <v>110</v>
      </c>
      <c r="C107" s="90">
        <v>1.0</v>
      </c>
      <c r="D107" s="91">
        <v>8000000.0</v>
      </c>
      <c r="E107" s="91">
        <f t="shared" si="5"/>
        <v>8000000</v>
      </c>
    </row>
    <row r="108">
      <c r="B108" s="89" t="s">
        <v>111</v>
      </c>
      <c r="C108" s="90">
        <v>1.0</v>
      </c>
      <c r="D108" s="91">
        <v>8000000.0</v>
      </c>
      <c r="E108" s="91">
        <f t="shared" si="5"/>
        <v>8000000</v>
      </c>
    </row>
    <row r="109">
      <c r="B109" s="89" t="s">
        <v>112</v>
      </c>
      <c r="C109" s="90">
        <v>2.0</v>
      </c>
      <c r="D109" s="91">
        <v>8000000.0</v>
      </c>
      <c r="E109" s="91">
        <f t="shared" si="5"/>
        <v>16000000</v>
      </c>
    </row>
    <row r="110">
      <c r="B110" s="89" t="s">
        <v>113</v>
      </c>
      <c r="C110" s="90">
        <v>4.0</v>
      </c>
      <c r="D110" s="91">
        <v>7500000.0</v>
      </c>
      <c r="E110" s="91">
        <f t="shared" si="5"/>
        <v>30000000</v>
      </c>
    </row>
    <row r="111">
      <c r="B111" s="89" t="s">
        <v>114</v>
      </c>
      <c r="C111" s="90">
        <v>2.0</v>
      </c>
      <c r="D111" s="91">
        <v>7500000.0</v>
      </c>
      <c r="E111" s="91">
        <f t="shared" si="5"/>
        <v>15000000</v>
      </c>
    </row>
    <row r="112">
      <c r="B112" s="89" t="s">
        <v>115</v>
      </c>
      <c r="C112" s="90">
        <v>1.0</v>
      </c>
      <c r="D112" s="91">
        <v>8000000.0</v>
      </c>
      <c r="E112" s="91">
        <f t="shared" si="5"/>
        <v>8000000</v>
      </c>
    </row>
    <row r="113">
      <c r="B113" s="89" t="s">
        <v>116</v>
      </c>
      <c r="C113" s="90">
        <v>2.0</v>
      </c>
      <c r="D113" s="91">
        <v>8000000.0</v>
      </c>
      <c r="E113" s="91">
        <f t="shared" si="5"/>
        <v>16000000</v>
      </c>
    </row>
    <row r="114">
      <c r="B114" s="89" t="s">
        <v>117</v>
      </c>
      <c r="C114" s="90">
        <v>1.0</v>
      </c>
      <c r="D114" s="91">
        <v>5000000.0</v>
      </c>
      <c r="E114" s="91">
        <f t="shared" si="5"/>
        <v>5000000</v>
      </c>
    </row>
    <row r="115">
      <c r="B115" s="89" t="s">
        <v>118</v>
      </c>
      <c r="C115" s="90">
        <v>1.0</v>
      </c>
      <c r="D115" s="91">
        <v>8000000.0</v>
      </c>
      <c r="E115" s="91">
        <f t="shared" si="5"/>
        <v>8000000</v>
      </c>
    </row>
    <row r="116">
      <c r="B116" s="89" t="s">
        <v>119</v>
      </c>
      <c r="C116" s="90">
        <v>1.0</v>
      </c>
      <c r="D116" s="91">
        <v>8000000.0</v>
      </c>
      <c r="E116" s="91">
        <f t="shared" si="5"/>
        <v>8000000</v>
      </c>
    </row>
    <row r="117">
      <c r="B117" s="89" t="s">
        <v>120</v>
      </c>
      <c r="C117" s="90">
        <v>1.0</v>
      </c>
      <c r="D117" s="91">
        <v>8000000.0</v>
      </c>
      <c r="E117" s="91">
        <f t="shared" si="5"/>
        <v>8000000</v>
      </c>
    </row>
    <row r="118">
      <c r="B118" s="89" t="s">
        <v>121</v>
      </c>
      <c r="C118" s="90">
        <v>3.0</v>
      </c>
      <c r="D118" s="91">
        <v>4000000.0</v>
      </c>
      <c r="E118" s="91">
        <f t="shared" si="5"/>
        <v>12000000</v>
      </c>
    </row>
    <row r="119">
      <c r="B119" s="89" t="s">
        <v>122</v>
      </c>
      <c r="C119" s="90">
        <v>2.0</v>
      </c>
      <c r="D119" s="91">
        <v>4000000.0</v>
      </c>
      <c r="E119" s="91">
        <f t="shared" si="5"/>
        <v>8000000</v>
      </c>
    </row>
    <row r="120">
      <c r="B120" s="89" t="s">
        <v>123</v>
      </c>
      <c r="C120" s="90">
        <v>25.0</v>
      </c>
      <c r="D120" s="92">
        <v>2500000.0</v>
      </c>
      <c r="E120" s="91">
        <f t="shared" si="5"/>
        <v>62500000</v>
      </c>
    </row>
    <row r="121">
      <c r="B121" s="89" t="s">
        <v>124</v>
      </c>
      <c r="C121" s="90">
        <v>25.0</v>
      </c>
      <c r="D121" s="92">
        <v>2500000.0</v>
      </c>
      <c r="E121" s="91">
        <f t="shared" si="5"/>
        <v>62500000</v>
      </c>
    </row>
    <row r="122">
      <c r="B122" s="89" t="s">
        <v>125</v>
      </c>
      <c r="C122" s="90">
        <v>30.0</v>
      </c>
      <c r="D122" s="92">
        <v>2500000.0</v>
      </c>
      <c r="E122" s="91">
        <f t="shared" si="5"/>
        <v>75000000</v>
      </c>
    </row>
    <row r="123">
      <c r="B123" s="89" t="s">
        <v>126</v>
      </c>
      <c r="C123" s="90">
        <v>30.0</v>
      </c>
      <c r="D123" s="92">
        <v>2500000.0</v>
      </c>
      <c r="E123" s="91">
        <f t="shared" si="5"/>
        <v>75000000</v>
      </c>
    </row>
    <row r="124">
      <c r="B124" s="89" t="s">
        <v>127</v>
      </c>
      <c r="C124" s="90">
        <v>100.0</v>
      </c>
      <c r="D124" s="92">
        <v>2500000.0</v>
      </c>
      <c r="E124" s="91">
        <f t="shared" si="5"/>
        <v>250000000</v>
      </c>
    </row>
    <row r="125">
      <c r="B125" s="89" t="s">
        <v>128</v>
      </c>
      <c r="C125" s="90">
        <v>20.0</v>
      </c>
      <c r="D125" s="92">
        <v>2500000.0</v>
      </c>
      <c r="E125" s="91">
        <f t="shared" si="5"/>
        <v>50000000</v>
      </c>
    </row>
    <row r="126">
      <c r="B126" s="89" t="s">
        <v>129</v>
      </c>
      <c r="C126" s="90">
        <v>30.0</v>
      </c>
      <c r="D126" s="92">
        <v>2500000.0</v>
      </c>
      <c r="E126" s="91">
        <f t="shared" si="5"/>
        <v>75000000</v>
      </c>
    </row>
    <row r="127">
      <c r="B127" s="89" t="s">
        <v>130</v>
      </c>
      <c r="C127" s="90">
        <v>100.0</v>
      </c>
      <c r="D127" s="92">
        <v>2500000.0</v>
      </c>
      <c r="E127" s="91">
        <f t="shared" si="5"/>
        <v>250000000</v>
      </c>
    </row>
    <row r="128">
      <c r="B128" s="89" t="s">
        <v>131</v>
      </c>
      <c r="C128" s="90">
        <v>100.0</v>
      </c>
      <c r="D128" s="92">
        <v>2500000.0</v>
      </c>
      <c r="E128" s="91">
        <f t="shared" si="5"/>
        <v>250000000</v>
      </c>
    </row>
    <row r="129">
      <c r="B129" s="89" t="s">
        <v>132</v>
      </c>
      <c r="C129" s="90">
        <v>1.0</v>
      </c>
      <c r="D129" s="91">
        <v>3300000.0</v>
      </c>
      <c r="E129" s="91">
        <f t="shared" si="5"/>
        <v>3300000</v>
      </c>
    </row>
    <row r="130">
      <c r="B130" s="89" t="s">
        <v>133</v>
      </c>
      <c r="C130" s="90">
        <v>50.0</v>
      </c>
      <c r="D130" s="91">
        <v>1830000.0</v>
      </c>
      <c r="E130" s="91">
        <f t="shared" si="5"/>
        <v>91500000</v>
      </c>
    </row>
    <row r="131">
      <c r="B131" s="89" t="s">
        <v>134</v>
      </c>
      <c r="C131" s="90">
        <v>40.0</v>
      </c>
      <c r="D131" s="91">
        <v>1500000.0</v>
      </c>
      <c r="E131" s="91">
        <f t="shared" si="5"/>
        <v>60000000</v>
      </c>
    </row>
    <row r="132">
      <c r="B132" s="89" t="s">
        <v>135</v>
      </c>
      <c r="C132" s="90">
        <v>53.0</v>
      </c>
      <c r="D132" s="91">
        <v>3500000.0</v>
      </c>
      <c r="E132" s="91">
        <f t="shared" si="5"/>
        <v>185500000</v>
      </c>
    </row>
    <row r="133">
      <c r="B133" s="89" t="s">
        <v>136</v>
      </c>
      <c r="C133" s="90">
        <v>50.0</v>
      </c>
      <c r="D133" s="91">
        <v>3500000.0</v>
      </c>
      <c r="E133" s="91">
        <f t="shared" si="5"/>
        <v>175000000</v>
      </c>
    </row>
    <row r="134">
      <c r="B134" s="93" t="s">
        <v>23</v>
      </c>
      <c r="C134" s="94">
        <f t="shared" ref="C134:E134" si="6">SUM(C104:C133)</f>
        <v>680</v>
      </c>
      <c r="D134" s="95">
        <f t="shared" si="6"/>
        <v>216130000</v>
      </c>
      <c r="E134" s="95">
        <f t="shared" si="6"/>
        <v>1911300000</v>
      </c>
    </row>
  </sheetData>
  <mergeCells count="32">
    <mergeCell ref="A22:E22"/>
    <mergeCell ref="A23:E23"/>
    <mergeCell ref="B24:E24"/>
    <mergeCell ref="B25:E25"/>
    <mergeCell ref="B26:E26"/>
    <mergeCell ref="B27:E27"/>
    <mergeCell ref="B28:E28"/>
    <mergeCell ref="A41:E41"/>
    <mergeCell ref="A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A59:E59"/>
    <mergeCell ref="B77:E77"/>
    <mergeCell ref="B78:E78"/>
    <mergeCell ref="B79:E79"/>
    <mergeCell ref="B80:E80"/>
    <mergeCell ref="B60:E60"/>
    <mergeCell ref="A61:E61"/>
    <mergeCell ref="B62:E62"/>
    <mergeCell ref="B63:E63"/>
    <mergeCell ref="A74:E74"/>
    <mergeCell ref="A75:E75"/>
    <mergeCell ref="B76:E76"/>
  </mergeCells>
  <printOptions gridLines="1" horizontalCentered="1"/>
  <pageMargins bottom="0.75" footer="0.0" header="0.0" left="0.7" right="0.7" top="0.75"/>
  <pageSetup paperSize="9" cellComments="atEnd" orientation="portrait" pageOrder="overThenDown"/>
  <drawing r:id="rId1"/>
</worksheet>
</file>